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90" tabRatio="638" firstSheet="1" activeTab="1"/>
  </bookViews>
  <sheets>
    <sheet name="목록" sheetId="3" state="hidden" r:id="rId1"/>
    <sheet name="표지" sheetId="8" r:id="rId2"/>
    <sheet name="총칙" sheetId="9" r:id="rId3"/>
    <sheet name="총괄표" sheetId="10" r:id="rId4"/>
    <sheet name="(법인회계) 세입 예산서" sheetId="6" r:id="rId5"/>
    <sheet name="(법인회계) 세출 예산서" sheetId="7" r:id="rId6"/>
  </sheets>
  <definedNames>
    <definedName name="_xlnm._FilterDatabase" localSheetId="4" hidden="1">'(법인회계) 세출 예산서'!$A$4:$H$103</definedName>
    <definedName name="_xlnm.Print_Area" localSheetId="4">'(법인회계) 세입 예산서'!$A$1:$H$55</definedName>
    <definedName name="_xlnm.Print_Area" localSheetId="5">'(법인회계) 세출 예산서'!$A$1:$H$104</definedName>
    <definedName name="_xlnm.Print_Area" localSheetId="3">총괄표!$A$1:$H$25</definedName>
    <definedName name="_xlnm.Print_Titles" localSheetId="4">'(법인회계) 세입 예산서'!$1:$4</definedName>
    <definedName name="_xlnm.Print_Titles" localSheetId="5">'(법인회계) 세출 예산서'!$2:$4</definedName>
  </definedNames>
  <calcPr calcId="125725"/>
</workbook>
</file>

<file path=xl/calcChain.xml><?xml version="1.0" encoding="utf-8"?>
<calcChain xmlns="http://schemas.openxmlformats.org/spreadsheetml/2006/main">
  <c r="D7" i="6"/>
  <c r="F7"/>
  <c r="F8" i="10"/>
  <c r="H70" i="7"/>
  <c r="G18" i="10"/>
  <c r="F18"/>
  <c r="G10"/>
  <c r="G8"/>
  <c r="G6"/>
  <c r="E20"/>
  <c r="E18"/>
  <c r="E16"/>
  <c r="E14"/>
  <c r="E12"/>
  <c r="E10"/>
  <c r="E8"/>
  <c r="E6"/>
  <c r="B20"/>
  <c r="C14"/>
  <c r="D14" s="1"/>
  <c r="C20"/>
  <c r="C18"/>
  <c r="D18" s="1"/>
  <c r="C16"/>
  <c r="D16" s="1"/>
  <c r="C12"/>
  <c r="D12" s="1"/>
  <c r="C10"/>
  <c r="C8"/>
  <c r="D8" s="1"/>
  <c r="A20"/>
  <c r="A18"/>
  <c r="A16"/>
  <c r="A14"/>
  <c r="A12"/>
  <c r="A10"/>
  <c r="A8"/>
  <c r="A6"/>
  <c r="F90" i="7"/>
  <c r="F88"/>
  <c r="H20" i="10"/>
  <c r="H16"/>
  <c r="H14"/>
  <c r="H12"/>
  <c r="H36" i="7"/>
  <c r="H31"/>
  <c r="H30"/>
  <c r="H18"/>
  <c r="H57"/>
  <c r="H55"/>
  <c r="H66"/>
  <c r="H47"/>
  <c r="H8" i="10" l="1"/>
  <c r="H18"/>
  <c r="G22"/>
  <c r="G17" s="1"/>
  <c r="D20"/>
  <c r="D10"/>
  <c r="H90" i="7"/>
  <c r="H88"/>
  <c r="G15" i="10" l="1"/>
  <c r="G11"/>
  <c r="G7"/>
  <c r="G19"/>
  <c r="G13"/>
  <c r="G21"/>
  <c r="G9"/>
  <c r="H39" i="7"/>
  <c r="H41"/>
  <c r="H40"/>
  <c r="H38"/>
  <c r="H35"/>
  <c r="H32"/>
  <c r="H28"/>
  <c r="H27"/>
  <c r="H26"/>
  <c r="H21"/>
  <c r="H16"/>
  <c r="H15"/>
  <c r="H14"/>
  <c r="H12"/>
  <c r="H11"/>
  <c r="H10"/>
  <c r="H9"/>
  <c r="D88"/>
  <c r="H71"/>
  <c r="H69"/>
  <c r="D65"/>
  <c r="E45"/>
  <c r="H56"/>
  <c r="H52"/>
  <c r="H51"/>
  <c r="H50"/>
  <c r="H46"/>
  <c r="G23" i="10" l="1"/>
  <c r="H42" i="7"/>
  <c r="H48"/>
  <c r="D48" s="1"/>
  <c r="F48" s="1"/>
  <c r="H23"/>
  <c r="H72"/>
  <c r="D68" s="1"/>
  <c r="F68" s="1"/>
  <c r="H53"/>
  <c r="D53" s="1"/>
  <c r="F53" s="1"/>
  <c r="H58"/>
  <c r="D58" s="1"/>
  <c r="F58" s="1"/>
  <c r="D7" l="1"/>
  <c r="F7" s="1"/>
  <c r="D45"/>
  <c r="F45" l="1"/>
  <c r="E18" i="6" l="1"/>
  <c r="E11"/>
  <c r="H17"/>
  <c r="H16"/>
  <c r="H15"/>
  <c r="H14"/>
  <c r="H18" s="1"/>
  <c r="D18" s="1"/>
  <c r="F18" s="1"/>
  <c r="H13"/>
  <c r="H10"/>
  <c r="H9"/>
  <c r="H8"/>
  <c r="H11" s="1"/>
  <c r="D11" l="1"/>
  <c r="F11" s="1"/>
  <c r="G28"/>
  <c r="E28"/>
  <c r="D28"/>
  <c r="G74" i="7"/>
  <c r="E74"/>
  <c r="D74"/>
  <c r="G64"/>
  <c r="E64"/>
  <c r="D64"/>
  <c r="D61"/>
  <c r="F84"/>
  <c r="G83"/>
  <c r="G82" s="1"/>
  <c r="E83"/>
  <c r="E82" s="1"/>
  <c r="D83"/>
  <c r="D82" s="1"/>
  <c r="G89"/>
  <c r="E89"/>
  <c r="D89"/>
  <c r="G86"/>
  <c r="E86"/>
  <c r="D86"/>
  <c r="G77"/>
  <c r="E77"/>
  <c r="D77"/>
  <c r="G59"/>
  <c r="E59"/>
  <c r="D59"/>
  <c r="G44"/>
  <c r="E44"/>
  <c r="D44"/>
  <c r="G42" i="6"/>
  <c r="E42"/>
  <c r="D42"/>
  <c r="F64" i="7" l="1"/>
  <c r="F44"/>
  <c r="G85"/>
  <c r="E85"/>
  <c r="D85"/>
  <c r="F83"/>
  <c r="F77"/>
  <c r="F86"/>
  <c r="F89"/>
  <c r="F82" l="1"/>
  <c r="F85"/>
  <c r="G48" i="6"/>
  <c r="E48"/>
  <c r="D48"/>
  <c r="F46"/>
  <c r="G46"/>
  <c r="G45" s="1"/>
  <c r="E46"/>
  <c r="D46"/>
  <c r="G26"/>
  <c r="E26"/>
  <c r="D26"/>
  <c r="E6"/>
  <c r="E5" s="1"/>
  <c r="C6" i="10" s="1"/>
  <c r="C22" l="1"/>
  <c r="D45" i="6"/>
  <c r="E45"/>
  <c r="H46"/>
  <c r="F48"/>
  <c r="F45" s="1"/>
  <c r="C11" i="10" l="1"/>
  <c r="C15"/>
  <c r="C9"/>
  <c r="C21"/>
  <c r="C13"/>
  <c r="C19"/>
  <c r="C17"/>
  <c r="C7"/>
  <c r="C23" s="1"/>
  <c r="H48" i="6"/>
  <c r="H45" s="1"/>
  <c r="E99" i="7" l="1"/>
  <c r="E98" s="1"/>
  <c r="D99"/>
  <c r="D98" s="1"/>
  <c r="G96"/>
  <c r="E96"/>
  <c r="D96"/>
  <c r="G94"/>
  <c r="E94"/>
  <c r="D94"/>
  <c r="G92"/>
  <c r="E92"/>
  <c r="D92"/>
  <c r="G80"/>
  <c r="G79" s="1"/>
  <c r="E80"/>
  <c r="E79" s="1"/>
  <c r="D80"/>
  <c r="D79" s="1"/>
  <c r="G67"/>
  <c r="G63" s="1"/>
  <c r="E67"/>
  <c r="D67"/>
  <c r="F59"/>
  <c r="E6"/>
  <c r="E5" s="1"/>
  <c r="D6"/>
  <c r="E51" i="6"/>
  <c r="E50" s="1"/>
  <c r="D51"/>
  <c r="F42"/>
  <c r="F40"/>
  <c r="G40"/>
  <c r="E40"/>
  <c r="D40"/>
  <c r="G38"/>
  <c r="E38"/>
  <c r="D38"/>
  <c r="G34"/>
  <c r="G33" s="1"/>
  <c r="E34"/>
  <c r="E33" s="1"/>
  <c r="D34"/>
  <c r="D33" s="1"/>
  <c r="F31"/>
  <c r="F30" s="1"/>
  <c r="G31"/>
  <c r="G30" s="1"/>
  <c r="E31"/>
  <c r="E30" s="1"/>
  <c r="D31"/>
  <c r="D30" s="1"/>
  <c r="F28"/>
  <c r="G25"/>
  <c r="E25"/>
  <c r="D25"/>
  <c r="F26"/>
  <c r="G23"/>
  <c r="E23"/>
  <c r="D23"/>
  <c r="G20"/>
  <c r="E20"/>
  <c r="D20"/>
  <c r="D6"/>
  <c r="D5" s="1"/>
  <c r="F5" l="1"/>
  <c r="F54" s="1"/>
  <c r="B6" i="10"/>
  <c r="D5" i="7"/>
  <c r="F6" i="10"/>
  <c r="H6" s="1"/>
  <c r="F67" i="7"/>
  <c r="D50" i="6"/>
  <c r="F50" s="1"/>
  <c r="F51"/>
  <c r="D19"/>
  <c r="E91" i="7"/>
  <c r="G91"/>
  <c r="F74"/>
  <c r="D91"/>
  <c r="D63"/>
  <c r="E63"/>
  <c r="G73"/>
  <c r="E73"/>
  <c r="F96"/>
  <c r="E61"/>
  <c r="E43" s="1"/>
  <c r="D73"/>
  <c r="D43"/>
  <c r="G61"/>
  <c r="G43" s="1"/>
  <c r="F25" i="6"/>
  <c r="G19"/>
  <c r="E19"/>
  <c r="G37"/>
  <c r="H28"/>
  <c r="H31"/>
  <c r="H40"/>
  <c r="F23"/>
  <c r="H23" s="1"/>
  <c r="D37"/>
  <c r="E37"/>
  <c r="F94" i="7"/>
  <c r="H26" i="6"/>
  <c r="F34"/>
  <c r="F38"/>
  <c r="F80" i="7"/>
  <c r="F79" s="1"/>
  <c r="F92"/>
  <c r="F99"/>
  <c r="F6" i="6"/>
  <c r="F20"/>
  <c r="H42"/>
  <c r="F6" i="7"/>
  <c r="F5" s="1"/>
  <c r="B22" i="10" l="1"/>
  <c r="B7" s="1"/>
  <c r="D6"/>
  <c r="D22" s="1"/>
  <c r="F63" i="7"/>
  <c r="F102" s="1"/>
  <c r="F10" i="10"/>
  <c r="F43" i="7"/>
  <c r="E54" i="6"/>
  <c r="D54"/>
  <c r="E102" i="7"/>
  <c r="F91"/>
  <c r="D102"/>
  <c r="F61"/>
  <c r="H25" i="6"/>
  <c r="F19"/>
  <c r="H20"/>
  <c r="H19" s="1"/>
  <c r="H30"/>
  <c r="F98" i="7"/>
  <c r="H34" i="6"/>
  <c r="F33"/>
  <c r="H33" s="1"/>
  <c r="H38"/>
  <c r="F37"/>
  <c r="G51"/>
  <c r="G50" s="1"/>
  <c r="D7" i="10" l="1"/>
  <c r="D21"/>
  <c r="D11"/>
  <c r="D15"/>
  <c r="D17"/>
  <c r="D19"/>
  <c r="D13"/>
  <c r="D9"/>
  <c r="B13"/>
  <c r="B19"/>
  <c r="B17"/>
  <c r="B9"/>
  <c r="B11"/>
  <c r="B21"/>
  <c r="B15"/>
  <c r="H10"/>
  <c r="F22"/>
  <c r="D104" i="7"/>
  <c r="E103"/>
  <c r="D103"/>
  <c r="F73"/>
  <c r="H37" i="6"/>
  <c r="F103" i="7"/>
  <c r="H50" i="6"/>
  <c r="H51"/>
  <c r="B23" i="10" l="1"/>
  <c r="D23"/>
  <c r="F15"/>
  <c r="F17"/>
  <c r="F7"/>
  <c r="F19"/>
  <c r="F21"/>
  <c r="F13"/>
  <c r="F9"/>
  <c r="F11"/>
  <c r="H22"/>
  <c r="G99" i="7"/>
  <c r="H19" i="10" l="1"/>
  <c r="H21"/>
  <c r="H9"/>
  <c r="H7"/>
  <c r="H17"/>
  <c r="H13"/>
  <c r="H15"/>
  <c r="F23"/>
  <c r="H11"/>
  <c r="G98" i="7"/>
  <c r="G102" s="1"/>
  <c r="H23" i="10" l="1"/>
</calcChain>
</file>

<file path=xl/sharedStrings.xml><?xml version="1.0" encoding="utf-8"?>
<sst xmlns="http://schemas.openxmlformats.org/spreadsheetml/2006/main" count="277" uniqueCount="240">
  <si>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</si>
  <si>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</si>
  <si>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</si>
  <si>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</si>
  <si>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보증금회수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</si>
  <si>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</si>
  <si>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</si>
  <si>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</si>
  <si>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</si>
  <si>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</si>
  <si>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</si>
  <si>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</si>
  <si>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</si>
  <si>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</si>
  <si>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전년도이월금</t>
    <phoneticPr fontId="2" type="noConversion"/>
  </si>
  <si>
    <t>전년도이월사업비</t>
    <phoneticPr fontId="2" type="noConversion"/>
  </si>
  <si>
    <t>순세계잉여금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</si>
  <si>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</si>
  <si>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</si>
  <si>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</si>
  <si>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</si>
  <si>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</si>
  <si>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시설비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</si>
  <si>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</si>
  <si>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</si>
  <si>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</si>
  <si>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</si>
  <si>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</si>
  <si>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</si>
  <si>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</si>
  <si>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</si>
  <si>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</si>
  <si>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</si>
  <si>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</si>
  <si>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</si>
  <si>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</si>
  <si>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</si>
  <si>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</si>
  <si>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</si>
  <si>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</si>
  <si>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</si>
  <si>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</si>
  <si>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</si>
  <si>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</si>
  <si>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</si>
  <si>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</si>
  <si>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</si>
  <si>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</si>
  <si>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</si>
  <si>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</si>
  <si>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</si>
  <si>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</si>
  <si>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</si>
  <si>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</si>
  <si>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</si>
  <si>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</si>
  <si>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</si>
  <si>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</si>
  <si>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</si>
  <si>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</si>
  <si>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</si>
  <si>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</si>
  <si>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</si>
  <si>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</si>
  <si>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</si>
  <si>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</si>
  <si>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</si>
  <si>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</si>
  <si>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</si>
  <si>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</si>
  <si>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</si>
  <si>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</si>
  <si>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</si>
  <si>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</si>
  <si>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</si>
  <si>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</si>
  <si>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</si>
  <si>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</si>
  <si>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</si>
  <si>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</si>
  <si>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</si>
  <si>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</si>
  <si>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</si>
  <si>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</si>
  <si>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</si>
  <si>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</si>
  <si>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</si>
  <si>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</si>
  <si>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</si>
  <si>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</si>
  <si>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</si>
  <si>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</si>
  <si>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</si>
  <si>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</si>
  <si>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</si>
  <si>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</si>
  <si>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</si>
  <si>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</si>
  <si>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</si>
  <si>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</si>
  <si>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</si>
  <si>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</si>
  <si>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</si>
  <si>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</si>
  <si>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</si>
  <si>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</si>
  <si>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</si>
  <si>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기타행정활동수입</t>
    <phoneticPr fontId="2" type="noConversion"/>
  </si>
  <si>
    <t>예금이자수입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</si>
  <si>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</si>
  <si>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</si>
  <si>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</si>
  <si>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</si>
  <si>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법인운영비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</si>
  <si>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</si>
  <si>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</si>
  <si>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</si>
  <si>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</si>
  <si>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</si>
  <si>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</si>
  <si>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</si>
  <si>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</si>
  <si>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예산액</t>
  </si>
  <si>
    <t>전년도
예산액</t>
  </si>
  <si>
    <t>비교증감</t>
  </si>
  <si>
    <t>산출기초(SGD)</t>
    <phoneticPr fontId="2" type="noConversion"/>
  </si>
  <si>
    <t>수익사업수입</t>
    <phoneticPr fontId="2" type="noConversion"/>
  </si>
  <si>
    <t>입학금 321불 x 45명 x 2학기 =</t>
    <phoneticPr fontId="2" type="noConversion"/>
  </si>
  <si>
    <t>수업료 963불 x 250명 x 2학기 =</t>
    <phoneticPr fontId="2" type="noConversion"/>
  </si>
  <si>
    <t>기타수익재산수입</t>
    <phoneticPr fontId="2" type="noConversion"/>
  </si>
  <si>
    <t>재외동포재단지원금 30,000불 x 1회 =</t>
    <phoneticPr fontId="2" type="noConversion"/>
  </si>
  <si>
    <t>소계</t>
  </si>
  <si>
    <t>&lt;2. 한국어교육원&gt;</t>
    <phoneticPr fontId="2" type="noConversion"/>
  </si>
  <si>
    <t xml:space="preserve">수업료 486불 x 130명 x 4기 = </t>
    <phoneticPr fontId="2" type="noConversion"/>
  </si>
  <si>
    <t>교재비 64불 x 80명 x 4기 =</t>
    <phoneticPr fontId="2" type="noConversion"/>
  </si>
  <si>
    <t>도서관멤버쉽 10불 x 10명 x 4기 =</t>
    <phoneticPr fontId="2" type="noConversion"/>
  </si>
  <si>
    <t>토픽1 응시료 72불 x 150명 x 2회 =</t>
    <phoneticPr fontId="2" type="noConversion"/>
  </si>
  <si>
    <t>토픽2 응시료 80불 x 150명 x 2회 =</t>
    <phoneticPr fontId="2" type="noConversion"/>
  </si>
  <si>
    <t>&lt;1. 토요한글학교&gt;</t>
    <phoneticPr fontId="2" type="noConversion"/>
  </si>
  <si>
    <t>예산액</t>
    <phoneticPr fontId="2" type="noConversion"/>
  </si>
  <si>
    <t xml:space="preserve"> 산출기초(SGD)</t>
    <phoneticPr fontId="2" type="noConversion"/>
  </si>
  <si>
    <t>목</t>
    <phoneticPr fontId="2" type="noConversion"/>
  </si>
  <si>
    <t>수익사업비</t>
    <phoneticPr fontId="2" type="noConversion"/>
  </si>
  <si>
    <t>&lt;1. 토요한글학교&gt;</t>
    <phoneticPr fontId="2" type="noConversion"/>
  </si>
  <si>
    <t>직원인건비</t>
    <phoneticPr fontId="2" type="noConversion"/>
  </si>
  <si>
    <t>&lt;1. 법인 사무국&gt;</t>
    <phoneticPr fontId="2" type="noConversion"/>
  </si>
  <si>
    <t>법인 겸직수당 1,500불 x 12월 =</t>
    <phoneticPr fontId="2" type="noConversion"/>
  </si>
  <si>
    <t>&lt;2. 토요한글학교&gt;</t>
    <phoneticPr fontId="2" type="noConversion"/>
  </si>
  <si>
    <t>&lt;3. 한국어교육원&gt;</t>
    <phoneticPr fontId="2" type="noConversion"/>
  </si>
  <si>
    <t>임시직인건비</t>
    <phoneticPr fontId="2" type="noConversion"/>
  </si>
  <si>
    <t>퇴직적립금</t>
    <phoneticPr fontId="2" type="noConversion"/>
  </si>
  <si>
    <t>이사회운영비</t>
    <phoneticPr fontId="2" type="noConversion"/>
  </si>
  <si>
    <t>일반수용비</t>
    <phoneticPr fontId="2" type="noConversion"/>
  </si>
  <si>
    <t>재산매입비</t>
    <phoneticPr fontId="2" type="noConversion"/>
  </si>
  <si>
    <t>대수선비</t>
    <phoneticPr fontId="2" type="noConversion"/>
  </si>
  <si>
    <t>재산관리비</t>
    <phoneticPr fontId="2" type="noConversion"/>
  </si>
  <si>
    <t>투자비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</si>
  <si>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</si>
  <si>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</si>
  <si>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</si>
  <si>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예비비</t>
    <phoneticPr fontId="2" type="noConversion"/>
  </si>
  <si>
    <t>잡지출</t>
    <phoneticPr fontId="2" type="noConversion"/>
  </si>
  <si>
    <t>환차손</t>
    <phoneticPr fontId="2" type="noConversion"/>
  </si>
  <si>
    <t>이월사업비</t>
    <phoneticPr fontId="2" type="noConversion"/>
  </si>
  <si>
    <t>순세계잉여금</t>
    <phoneticPr fontId="2" type="noConversion"/>
  </si>
  <si>
    <t>출장여비 1,000불 x 2명 =</t>
    <phoneticPr fontId="2" type="noConversion"/>
  </si>
  <si>
    <t>교사용 교재 구입 500불 x 4기 =</t>
    <phoneticPr fontId="2" type="noConversion"/>
  </si>
  <si>
    <t>오리엔테이션 준비물품 구입 100불 x 4회 =</t>
    <phoneticPr fontId="2" type="noConversion"/>
  </si>
  <si>
    <t>한국어능력시험 운영비 22,800불 x 2회 =</t>
    <phoneticPr fontId="2" type="noConversion"/>
  </si>
  <si>
    <t>KLC 연간 소개자료 인쇄 10불 x 100부 =</t>
    <phoneticPr fontId="2" type="noConversion"/>
  </si>
  <si>
    <t>특근매식비 10불 x 10명 x 4회 =</t>
    <phoneticPr fontId="2" type="noConversion"/>
  </si>
  <si>
    <t>facebook 홍보 1,000불 x 4기 =</t>
    <phoneticPr fontId="2" type="noConversion"/>
  </si>
  <si>
    <t>수업용 교구 구입 500불 x 4기 =</t>
    <phoneticPr fontId="2" type="noConversion"/>
  </si>
  <si>
    <t>소모품 구입 200불 x 2회 =</t>
    <phoneticPr fontId="2" type="noConversion"/>
  </si>
  <si>
    <t>KLC 홍보자료 디자인 800불 x 1회 =</t>
    <phoneticPr fontId="2" type="noConversion"/>
  </si>
  <si>
    <t>강사연수비 100불 x 4회 =</t>
    <phoneticPr fontId="2" type="noConversion"/>
  </si>
  <si>
    <t>Trial lesson 준비물품 구입 100불 x 4회 =</t>
    <phoneticPr fontId="2" type="noConversion"/>
  </si>
  <si>
    <t>Trial lesson 운영 100불 x 3명 x 4회 =</t>
    <phoneticPr fontId="2" type="noConversion"/>
  </si>
  <si>
    <t>이월금 50,000불 x 1회 =</t>
    <phoneticPr fontId="2" type="noConversion"/>
  </si>
  <si>
    <t>직원 인건비(각종 수당 포함) 4,500불 x 2명 x 12월 =</t>
    <phoneticPr fontId="2" type="noConversion"/>
  </si>
  <si>
    <t>CPF 기관부담금 67불 x 8명 x 36시간 x 4기 x 17% =</t>
    <phoneticPr fontId="2" type="noConversion"/>
  </si>
  <si>
    <t>행사평가협의회 35불 x 20명 x 4회 =</t>
    <phoneticPr fontId="2" type="noConversion"/>
  </si>
  <si>
    <t>강사업무협의회 35불 x 20명 x 2회 =</t>
    <phoneticPr fontId="2" type="noConversion"/>
  </si>
  <si>
    <t>문화행사 진행비 1,800불 x 4기 =</t>
    <phoneticPr fontId="2" type="noConversion"/>
  </si>
  <si>
    <t>2019학년도</t>
    <phoneticPr fontId="2" type="noConversion"/>
  </si>
  <si>
    <t>학교법인 싱가포르한국국제학교</t>
    <phoneticPr fontId="2" type="noConversion"/>
  </si>
  <si>
    <t>예 산 총 칙</t>
    <phoneticPr fontId="2" type="noConversion"/>
  </si>
  <si>
    <t>제1조</t>
    <phoneticPr fontId="2" type="noConversion"/>
  </si>
  <si>
    <t>제2조</t>
    <phoneticPr fontId="2" type="noConversion"/>
  </si>
  <si>
    <t>국가, 단체, 개인등으로부터의 전입금, 지원경비 및 수익자부담경비는 추가경정예산의 성립 이전에 사용할 수 있으며, 이는 차기 추가경정 예산에 반영한다.</t>
    <phoneticPr fontId="2" type="noConversion"/>
  </si>
  <si>
    <t>제3조</t>
    <phoneticPr fontId="2" type="noConversion"/>
  </si>
  <si>
    <t>동일 예산 관내의 항간 또는 목간에 예산의 과부족이 있는 경우에는 사학기관재무회계규칙 제21조의 제3항의 규정에 의하여 상호 전용할 수 있다.</t>
    <phoneticPr fontId="2" type="noConversion"/>
  </si>
  <si>
    <t>제4조</t>
    <phoneticPr fontId="2" type="noConversion"/>
  </si>
  <si>
    <t>다음의 경비에 부족이 생겼을 때에는 비목 상호간 또는 타 비목으로부터 이용할 수 있다.</t>
    <phoneticPr fontId="2" type="noConversion"/>
  </si>
  <si>
    <t>1. 교직원인건비</t>
    <phoneticPr fontId="2" type="noConversion"/>
  </si>
  <si>
    <t>2. 비정규직보수, 강사료</t>
    <phoneticPr fontId="2" type="noConversion"/>
  </si>
  <si>
    <t>3. 세금, 공과금, 반환금</t>
    <phoneticPr fontId="2" type="noConversion"/>
  </si>
  <si>
    <t>제5조</t>
    <phoneticPr fontId="12" type="noConversion"/>
  </si>
  <si>
    <t>세    입</t>
    <phoneticPr fontId="12" type="noConversion"/>
  </si>
  <si>
    <t>세    출</t>
    <phoneticPr fontId="12" type="noConversion"/>
  </si>
  <si>
    <t>과목</t>
    <phoneticPr fontId="12" type="noConversion"/>
  </si>
  <si>
    <t>2019
예산액</t>
    <phoneticPr fontId="12" type="noConversion"/>
  </si>
  <si>
    <t>2018
예산액</t>
    <phoneticPr fontId="12" type="noConversion"/>
  </si>
  <si>
    <t>증감액</t>
    <phoneticPr fontId="12" type="noConversion"/>
  </si>
  <si>
    <t xml:space="preserve"> </t>
    <phoneticPr fontId="2" type="noConversion"/>
  </si>
  <si>
    <t>계</t>
    <phoneticPr fontId="12" type="noConversion"/>
  </si>
  <si>
    <t xml:space="preserve">2019학년도 학교법인 싱가포르한국국제학교 세입,세출예산 총액은  S$909,590로 하며, 세입.세출의 명세는 '세입세출예산서'와 같다. </t>
    <phoneticPr fontId="2" type="noConversion"/>
  </si>
  <si>
    <t>(단위: SGD)</t>
    <phoneticPr fontId="12" type="noConversion"/>
  </si>
  <si>
    <t>행사버스 임차 200불 x 4회 =</t>
    <phoneticPr fontId="2" type="noConversion"/>
  </si>
  <si>
    <t>학생상해보험료 1,000불 x 1회 =</t>
    <phoneticPr fontId="2" type="noConversion"/>
  </si>
  <si>
    <t>사무용품구입 600불 x 2학기 =</t>
    <phoneticPr fontId="2" type="noConversion"/>
  </si>
  <si>
    <t>교재구입 1,500불 x 2학기 =</t>
    <phoneticPr fontId="2" type="noConversion"/>
  </si>
  <si>
    <t>교구구입 1,000불 x 2학기 =</t>
    <phoneticPr fontId="2" type="noConversion"/>
  </si>
  <si>
    <t>출장여비 500불 x 6명 =</t>
    <phoneticPr fontId="2" type="noConversion"/>
  </si>
  <si>
    <t>홍보비(소개자료 제작 포함) 3,000불 x 1회 =</t>
    <phoneticPr fontId="2" type="noConversion"/>
  </si>
  <si>
    <t>학급운영비 100불 x 17학급 x 2학기 =</t>
    <phoneticPr fontId="2" type="noConversion"/>
  </si>
  <si>
    <t>교육계획서 인쇄 20불 x 100부 =</t>
    <phoneticPr fontId="2" type="noConversion"/>
  </si>
  <si>
    <t>토요누리 인쇄 15불 x 260부 =</t>
    <phoneticPr fontId="2" type="noConversion"/>
  </si>
  <si>
    <t>기타 학급운영비 1,000불 x 1식 =</t>
    <phoneticPr fontId="2" type="noConversion"/>
  </si>
  <si>
    <t>교육과정평가협의회 35불 x 25명 x 4회 =</t>
    <phoneticPr fontId="2" type="noConversion"/>
  </si>
  <si>
    <t>특별강좌 500불 x 1회 =</t>
    <phoneticPr fontId="2" type="noConversion"/>
  </si>
  <si>
    <t>입학식 준비 500불 x 1회 =</t>
    <phoneticPr fontId="2" type="noConversion"/>
  </si>
  <si>
    <t>상장 및 기념품 구입 20불 x 17학급 × 10명 =</t>
    <phoneticPr fontId="2" type="noConversion"/>
  </si>
  <si>
    <t>수료식 및 졸업식 준비 1,000불 x 1회 =</t>
    <phoneticPr fontId="2" type="noConversion"/>
  </si>
  <si>
    <t>강사비 800불 x 17명 x 12월 =</t>
    <phoneticPr fontId="2" type="noConversion"/>
  </si>
  <si>
    <t>부장수당 150불 x 5명 x 12월 =</t>
    <phoneticPr fontId="2" type="noConversion"/>
  </si>
  <si>
    <t>CPF 기관부담금 800불 x 2명 x 12월 x 17% =</t>
    <phoneticPr fontId="2" type="noConversion"/>
  </si>
  <si>
    <t xml:space="preserve">강사비 67불 x 15명 x 36시간 x 4기 = </t>
    <phoneticPr fontId="2" type="noConversion"/>
  </si>
  <si>
    <t>부장수당 300불 x 1명 x 12월 =</t>
    <phoneticPr fontId="2" type="noConversion"/>
  </si>
  <si>
    <t>학교법인 정기총회 1,000불 x 1회 =</t>
    <phoneticPr fontId="2" type="noConversion"/>
  </si>
  <si>
    <t>이사회 워크숍 500불 x 2회 =</t>
    <phoneticPr fontId="2" type="noConversion"/>
  </si>
  <si>
    <t>대출원금 상환 50,000불 x 6월 =</t>
    <phoneticPr fontId="2" type="noConversion"/>
  </si>
  <si>
    <t>이자상환 6,000불 x 6월 =</t>
    <phoneticPr fontId="2" type="noConversion"/>
  </si>
  <si>
    <t>현안사업 협의 35불 x 15명 x 4회 =</t>
    <phoneticPr fontId="2" type="noConversion"/>
  </si>
  <si>
    <t>말하기대회 진행물품 구입 1,385불 x 1회  =</t>
    <phoneticPr fontId="2" type="noConversion"/>
  </si>
  <si>
    <t>학교법인 싱가포르한국국제학교회계 
세입 ·세출 예산서</t>
    <phoneticPr fontId="12" type="noConversion"/>
  </si>
  <si>
    <t>2019학년도 법인회계 세입·세출예산서 총괄표</t>
    <phoneticPr fontId="12" type="noConversion"/>
  </si>
  <si>
    <t>2019학년도 법인회계 세입예산서</t>
    <phoneticPr fontId="2" type="noConversion"/>
  </si>
  <si>
    <t>2019학년도 법인회계 세출예산서</t>
    <phoneticPr fontId="2" type="noConversion"/>
  </si>
  <si>
    <t>회계연도중 목적이 지정되어 교부받은 교부금 및 기부금은
이사회 의결을 받은 것으로 간주한다.</t>
    <phoneticPr fontId="1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</si>
</sst>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  <numFmt numFmtId="179" formatCode="#,##0_ "/>
    <numFmt numFmtId="180" formatCode="#,##0.00_ "/>
    <numFmt numFmtId="181" formatCode="\(0.00%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1" fontId="3" fillId="0" borderId="3" xfId="1" applyFont="1" applyBorder="1" applyAlignment="1">
      <alignment vertical="center"/>
    </xf>
    <xf numFmtId="41" fontId="3" fillId="0" borderId="1" xfId="1" applyFont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5" fillId="6" borderId="1" xfId="2" applyFont="1" applyFill="1" applyBorder="1" applyAlignment="1">
      <alignment vertical="center" wrapText="1"/>
    </xf>
    <xf numFmtId="178" fontId="5" fillId="0" borderId="3" xfId="1" applyNumberFormat="1" applyFont="1" applyBorder="1" applyAlignment="1">
      <alignment vertical="center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0" fontId="10" fillId="0" borderId="3" xfId="0" applyFont="1" applyBorder="1" applyAlignment="1">
      <alignment vertical="top"/>
    </xf>
    <xf numFmtId="178" fontId="10" fillId="0" borderId="3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178" fontId="10" fillId="4" borderId="3" xfId="1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0" fontId="10" fillId="0" borderId="1" xfId="5" applyFont="1" applyBorder="1">
      <alignment vertical="center"/>
    </xf>
    <xf numFmtId="0" fontId="0" fillId="0" borderId="13" xfId="0" applyBorder="1">
      <alignment vertical="center"/>
    </xf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11" fillId="0" borderId="0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13" fillId="0" borderId="13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6" xfId="0" applyFont="1" applyBorder="1">
      <alignment vertical="center"/>
    </xf>
    <xf numFmtId="0" fontId="15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179" fontId="11" fillId="0" borderId="0" xfId="9" applyNumberFormat="1" applyFont="1" applyAlignment="1">
      <alignment horizontal="center" vertical="center"/>
    </xf>
    <xf numFmtId="180" fontId="11" fillId="0" borderId="0" xfId="9" applyNumberFormat="1" applyFont="1" applyAlignment="1">
      <alignment horizontal="center" vertical="center"/>
    </xf>
    <xf numFmtId="179" fontId="17" fillId="0" borderId="0" xfId="9" applyNumberFormat="1" applyFont="1" applyAlignment="1">
      <alignment horizontal="center" vertical="center"/>
    </xf>
    <xf numFmtId="179" fontId="15" fillId="0" borderId="0" xfId="9" applyNumberFormat="1" applyFont="1">
      <alignment vertical="center"/>
    </xf>
    <xf numFmtId="179" fontId="19" fillId="0" borderId="26" xfId="9" applyNumberFormat="1" applyFont="1" applyBorder="1" applyAlignment="1">
      <alignment horizontal="center" vertical="center" shrinkToFit="1"/>
    </xf>
    <xf numFmtId="179" fontId="19" fillId="0" borderId="27" xfId="9" applyNumberFormat="1" applyFont="1" applyBorder="1" applyAlignment="1">
      <alignment horizontal="center" vertical="center" shrinkToFit="1"/>
    </xf>
    <xf numFmtId="179" fontId="19" fillId="0" borderId="28" xfId="9" applyNumberFormat="1" applyFont="1" applyBorder="1" applyAlignment="1">
      <alignment horizontal="center" vertical="center" shrinkToFit="1"/>
    </xf>
    <xf numFmtId="179" fontId="19" fillId="0" borderId="29" xfId="9" applyNumberFormat="1" applyFont="1" applyBorder="1" applyAlignment="1">
      <alignment horizontal="center" vertical="center" shrinkToFit="1"/>
    </xf>
    <xf numFmtId="180" fontId="19" fillId="0" borderId="30" xfId="9" applyNumberFormat="1" applyFont="1" applyBorder="1" applyAlignment="1">
      <alignment horizontal="center" vertical="center" shrinkToFit="1"/>
    </xf>
    <xf numFmtId="179" fontId="20" fillId="0" borderId="32" xfId="9" applyNumberFormat="1" applyFont="1" applyBorder="1" applyAlignment="1">
      <alignment vertical="center" shrinkToFit="1"/>
    </xf>
    <xf numFmtId="179" fontId="20" fillId="0" borderId="33" xfId="9" applyNumberFormat="1" applyFont="1" applyBorder="1" applyAlignment="1">
      <alignment horizontal="right" vertical="center" shrinkToFit="1"/>
    </xf>
    <xf numFmtId="179" fontId="20" fillId="0" borderId="35" xfId="9" applyNumberFormat="1" applyFont="1" applyBorder="1" applyAlignment="1">
      <alignment horizontal="right" vertical="center" shrinkToFit="1"/>
    </xf>
    <xf numFmtId="181" fontId="20" fillId="0" borderId="37" xfId="9" applyNumberFormat="1" applyFont="1" applyBorder="1" applyAlignment="1">
      <alignment vertical="center" shrinkToFit="1"/>
    </xf>
    <xf numFmtId="181" fontId="20" fillId="0" borderId="38" xfId="9" applyNumberFormat="1" applyFont="1" applyBorder="1" applyAlignment="1">
      <alignment horizontal="right" vertical="center" shrinkToFit="1"/>
    </xf>
    <xf numFmtId="181" fontId="20" fillId="0" borderId="40" xfId="9" applyNumberFormat="1" applyFont="1" applyBorder="1" applyAlignment="1">
      <alignment horizontal="right" vertical="center" shrinkToFit="1"/>
    </xf>
    <xf numFmtId="179" fontId="20" fillId="0" borderId="27" xfId="9" applyNumberFormat="1" applyFont="1" applyBorder="1" applyAlignment="1">
      <alignment horizontal="right" vertical="center" shrinkToFit="1"/>
    </xf>
    <xf numFmtId="179" fontId="20" fillId="0" borderId="28" xfId="9" applyNumberFormat="1" applyFont="1" applyBorder="1" applyAlignment="1">
      <alignment horizontal="right" vertical="center" shrinkToFit="1"/>
    </xf>
    <xf numFmtId="179" fontId="20" fillId="0" borderId="30" xfId="9" applyNumberFormat="1" applyFont="1" applyBorder="1" applyAlignment="1">
      <alignment horizontal="right" vertical="center" shrinkToFit="1"/>
    </xf>
    <xf numFmtId="179" fontId="20" fillId="0" borderId="27" xfId="9" applyNumberFormat="1" applyFont="1" applyBorder="1" applyAlignment="1">
      <alignment vertical="center" shrinkToFit="1"/>
    </xf>
    <xf numFmtId="179" fontId="19" fillId="0" borderId="32" xfId="9" applyNumberFormat="1" applyFont="1" applyBorder="1" applyAlignment="1">
      <alignment vertical="center" shrinkToFit="1"/>
    </xf>
    <xf numFmtId="179" fontId="19" fillId="0" borderId="33" xfId="9" applyNumberFormat="1" applyFont="1" applyBorder="1" applyAlignment="1">
      <alignment horizontal="right" vertical="center" shrinkToFit="1"/>
    </xf>
    <xf numFmtId="179" fontId="19" fillId="0" borderId="35" xfId="9" applyNumberFormat="1" applyFont="1" applyBorder="1" applyAlignment="1">
      <alignment horizontal="right" vertical="center" shrinkToFit="1"/>
    </xf>
    <xf numFmtId="3" fontId="0" fillId="0" borderId="0" xfId="0" applyNumberFormat="1">
      <alignment vertical="center"/>
    </xf>
    <xf numFmtId="181" fontId="19" fillId="0" borderId="45" xfId="9" applyNumberFormat="1" applyFont="1" applyBorder="1" applyAlignment="1">
      <alignment vertical="center" shrinkToFit="1"/>
    </xf>
    <xf numFmtId="181" fontId="19" fillId="0" borderId="46" xfId="9" applyNumberFormat="1" applyFont="1" applyBorder="1" applyAlignment="1">
      <alignment horizontal="right" vertical="center" shrinkToFit="1"/>
    </xf>
    <xf numFmtId="181" fontId="19" fillId="0" borderId="48" xfId="9" applyNumberFormat="1" applyFont="1" applyBorder="1" applyAlignment="1">
      <alignment horizontal="right" vertical="center" shrinkToFit="1"/>
    </xf>
    <xf numFmtId="179" fontId="19" fillId="0" borderId="0" xfId="9" applyNumberFormat="1" applyFont="1" applyBorder="1" applyAlignment="1">
      <alignment horizontal="center" vertical="center"/>
    </xf>
    <xf numFmtId="181" fontId="19" fillId="0" borderId="0" xfId="9" applyNumberFormat="1" applyFont="1" applyBorder="1" applyAlignment="1">
      <alignment vertical="center"/>
    </xf>
    <xf numFmtId="181" fontId="19" fillId="0" borderId="0" xfId="9" applyNumberFormat="1" applyFont="1" applyBorder="1" applyAlignment="1">
      <alignment horizontal="right" vertical="center"/>
    </xf>
    <xf numFmtId="179" fontId="19" fillId="0" borderId="0" xfId="9" applyNumberFormat="1" applyFont="1" applyBorder="1" applyAlignment="1">
      <alignment vertical="center"/>
    </xf>
    <xf numFmtId="180" fontId="19" fillId="0" borderId="0" xfId="9" applyNumberFormat="1" applyFont="1" applyBorder="1" applyAlignment="1">
      <alignment vertical="center"/>
    </xf>
    <xf numFmtId="180" fontId="15" fillId="0" borderId="0" xfId="9" applyNumberFormat="1" applyFont="1">
      <alignment vertical="center"/>
    </xf>
    <xf numFmtId="177" fontId="5" fillId="6" borderId="1" xfId="2" applyNumberFormat="1" applyFont="1" applyFill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0" fontId="4" fillId="0" borderId="17" xfId="0" applyFont="1" applyBorder="1" applyAlignment="1">
      <alignment vertical="top" wrapText="1"/>
    </xf>
    <xf numFmtId="0" fontId="15" fillId="0" borderId="16" xfId="0" applyFont="1" applyBorder="1" applyAlignment="1">
      <alignment vertical="top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79" fontId="21" fillId="0" borderId="26" xfId="9" applyNumberFormat="1" applyFont="1" applyBorder="1" applyAlignment="1">
      <alignment horizontal="center" vertical="center" shrinkToFit="1"/>
    </xf>
    <xf numFmtId="179" fontId="21" fillId="0" borderId="42" xfId="9" applyNumberFormat="1" applyFont="1" applyBorder="1" applyAlignment="1">
      <alignment horizontal="center" vertical="center" shrinkToFit="1"/>
    </xf>
    <xf numFmtId="179" fontId="21" fillId="0" borderId="41" xfId="9" applyNumberFormat="1" applyFont="1" applyBorder="1" applyAlignment="1">
      <alignment horizontal="center" vertical="center" shrinkToFit="1"/>
    </xf>
    <xf numFmtId="179" fontId="21" fillId="0" borderId="39" xfId="9" applyNumberFormat="1" applyFont="1" applyBorder="1" applyAlignment="1">
      <alignment horizontal="center" vertical="center" shrinkToFit="1"/>
    </xf>
    <xf numFmtId="179" fontId="19" fillId="0" borderId="43" xfId="9" applyNumberFormat="1" applyFont="1" applyBorder="1" applyAlignment="1">
      <alignment horizontal="center" vertical="center" shrinkToFit="1"/>
    </xf>
    <xf numFmtId="179" fontId="19" fillId="0" borderId="44" xfId="9" applyNumberFormat="1" applyFont="1" applyBorder="1" applyAlignment="1">
      <alignment horizontal="center" vertical="center" shrinkToFit="1"/>
    </xf>
    <xf numFmtId="179" fontId="19" fillId="0" borderId="34" xfId="9" applyNumberFormat="1" applyFont="1" applyBorder="1" applyAlignment="1">
      <alignment horizontal="center" vertical="center" shrinkToFit="1"/>
    </xf>
    <xf numFmtId="179" fontId="19" fillId="0" borderId="47" xfId="9" applyNumberFormat="1" applyFont="1" applyBorder="1" applyAlignment="1">
      <alignment horizontal="center" vertical="center" shrinkToFit="1"/>
    </xf>
    <xf numFmtId="179" fontId="19" fillId="0" borderId="26" xfId="9" applyNumberFormat="1" applyFont="1" applyBorder="1" applyAlignment="1">
      <alignment horizontal="center" vertical="center" shrinkToFit="1"/>
    </xf>
    <xf numFmtId="179" fontId="19" fillId="0" borderId="36" xfId="9" applyNumberFormat="1" applyFont="1" applyBorder="1" applyAlignment="1">
      <alignment horizontal="center" vertical="center" shrinkToFit="1"/>
    </xf>
    <xf numFmtId="179" fontId="19" fillId="0" borderId="41" xfId="9" applyNumberFormat="1" applyFont="1" applyBorder="1" applyAlignment="1">
      <alignment horizontal="center" vertical="center" shrinkToFit="1"/>
    </xf>
    <xf numFmtId="179" fontId="19" fillId="0" borderId="39" xfId="9" applyNumberFormat="1" applyFont="1" applyBorder="1" applyAlignment="1">
      <alignment horizontal="center" vertical="center" shrinkToFit="1"/>
    </xf>
    <xf numFmtId="179" fontId="21" fillId="0" borderId="36" xfId="9" applyNumberFormat="1" applyFont="1" applyBorder="1" applyAlignment="1">
      <alignment horizontal="center" vertical="center" shrinkToFit="1"/>
    </xf>
    <xf numFmtId="179" fontId="16" fillId="0" borderId="0" xfId="9" applyNumberFormat="1" applyFont="1" applyAlignment="1">
      <alignment horizontal="center" vertical="center"/>
    </xf>
    <xf numFmtId="179" fontId="15" fillId="0" borderId="0" xfId="9" applyNumberFormat="1" applyFont="1" applyBorder="1" applyAlignment="1">
      <alignment horizontal="right" vertical="center"/>
    </xf>
    <xf numFmtId="179" fontId="18" fillId="0" borderId="21" xfId="9" applyNumberFormat="1" applyFont="1" applyBorder="1" applyAlignment="1">
      <alignment horizontal="center" vertical="center" shrinkToFit="1"/>
    </xf>
    <xf numFmtId="179" fontId="18" fillId="0" borderId="22" xfId="9" applyNumberFormat="1" applyFont="1" applyBorder="1" applyAlignment="1">
      <alignment horizontal="center" vertical="center" shrinkToFit="1"/>
    </xf>
    <xf numFmtId="179" fontId="18" fillId="0" borderId="23" xfId="9" applyNumberFormat="1" applyFont="1" applyBorder="1" applyAlignment="1">
      <alignment horizontal="center" vertical="center" shrinkToFit="1"/>
    </xf>
    <xf numFmtId="179" fontId="18" fillId="0" borderId="24" xfId="9" applyNumberFormat="1" applyFont="1" applyBorder="1" applyAlignment="1">
      <alignment horizontal="center" vertical="center" shrinkToFit="1"/>
    </xf>
    <xf numFmtId="179" fontId="18" fillId="0" borderId="25" xfId="9" applyNumberFormat="1" applyFont="1" applyBorder="1" applyAlignment="1">
      <alignment horizontal="center" vertical="center" shrinkToFit="1"/>
    </xf>
    <xf numFmtId="179" fontId="19" fillId="0" borderId="31" xfId="9" applyNumberFormat="1" applyFont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41" fontId="23" fillId="0" borderId="0" xfId="1" applyFont="1" applyBorder="1" applyAlignment="1">
      <alignment horizontal="center" vertical="center"/>
    </xf>
  </cellXfs>
  <cellStyles count="10">
    <cellStyle name="쉼표 [0]" xfId="1" builtinId="6"/>
    <cellStyle name="쉼표 [0] 2" xfId="6"/>
    <cellStyle name="쉼표 [0] 2 2" xfId="7"/>
    <cellStyle name="쉼표 [0] 3" xfId="8"/>
    <cellStyle name="쉼표 [0] 4" xfId="2"/>
    <cellStyle name="표준" xfId="0" builtinId="0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4"/>
  <sheetViews>
    <sheetView showGridLines="0" workbookViewId="0">
      <selection activeCell="B2" sqref="A2:XFD3"/>
    </sheetView>
  </sheetViews>
  <sheetFormatPr defaultRowHeight="16.5"/>
  <cols>
    <col min="1" max="3" width="21.25" customWidth="1"/>
  </cols>
  <sheetData>
    <row r="2" spans="1:3">
      <c r="A2" s="27" t="s">
        <v>94</v>
      </c>
      <c r="B2" s="27" t="s">
        <v>95</v>
      </c>
      <c r="C2" s="27" t="s">
        <v>96</v>
      </c>
    </row>
    <row r="3" spans="1:3">
      <c r="A3" t="s">
        <v>48</v>
      </c>
      <c r="B3" t="s">
        <v>47</v>
      </c>
      <c r="C3" t="s">
        <v>31</v>
      </c>
    </row>
    <row r="4" spans="1:3">
      <c r="A4" t="s">
        <v>49</v>
      </c>
      <c r="B4" t="s">
        <v>52</v>
      </c>
      <c r="C4" t="s">
        <v>32</v>
      </c>
    </row>
    <row r="5" spans="1:3">
      <c r="A5" t="s">
        <v>50</v>
      </c>
      <c r="B5" t="s">
        <v>65</v>
      </c>
      <c r="C5" t="s">
        <v>34</v>
      </c>
    </row>
    <row r="6" spans="1:3">
      <c r="A6" t="s">
        <v>51</v>
      </c>
      <c r="B6" t="s">
        <v>68</v>
      </c>
      <c r="C6" t="s">
        <v>35</v>
      </c>
    </row>
    <row r="7" spans="1:3">
      <c r="A7" t="s">
        <v>53</v>
      </c>
      <c r="B7" t="s">
        <v>71</v>
      </c>
      <c r="C7" t="s">
        <v>36</v>
      </c>
    </row>
    <row r="8" spans="1:3">
      <c r="A8" t="s">
        <v>54</v>
      </c>
      <c r="B8" t="s">
        <v>74</v>
      </c>
      <c r="C8" t="s">
        <v>37</v>
      </c>
    </row>
    <row r="9" spans="1:3">
      <c r="A9" t="s">
        <v>55</v>
      </c>
      <c r="B9" t="s">
        <v>76</v>
      </c>
      <c r="C9" t="s">
        <v>38</v>
      </c>
    </row>
    <row r="10" spans="1:3">
      <c r="A10" t="s">
        <v>56</v>
      </c>
      <c r="B10" t="s">
        <v>78</v>
      </c>
      <c r="C10" t="s">
        <v>39</v>
      </c>
    </row>
    <row r="11" spans="1:3">
      <c r="A11" t="s">
        <v>57</v>
      </c>
      <c r="B11" t="s">
        <v>80</v>
      </c>
      <c r="C11" t="s">
        <v>40</v>
      </c>
    </row>
    <row r="12" spans="1:3">
      <c r="A12" t="s">
        <v>58</v>
      </c>
      <c r="B12" t="s">
        <v>82</v>
      </c>
      <c r="C12" t="s">
        <v>41</v>
      </c>
    </row>
    <row r="13" spans="1:3">
      <c r="A13" t="s">
        <v>59</v>
      </c>
      <c r="B13" t="s">
        <v>84</v>
      </c>
      <c r="C13" t="s">
        <v>42</v>
      </c>
    </row>
    <row r="14" spans="1:3">
      <c r="A14" t="s">
        <v>60</v>
      </c>
      <c r="B14" t="s">
        <v>86</v>
      </c>
      <c r="C14" t="s">
        <v>43</v>
      </c>
    </row>
    <row r="15" spans="1:3">
      <c r="A15" t="s">
        <v>61</v>
      </c>
      <c r="B15" t="s">
        <v>88</v>
      </c>
      <c r="C15" t="s">
        <v>44</v>
      </c>
    </row>
    <row r="16" spans="1:3">
      <c r="A16" t="s">
        <v>62</v>
      </c>
      <c r="B16" t="s">
        <v>90</v>
      </c>
      <c r="C16" t="s">
        <v>45</v>
      </c>
    </row>
    <row r="17" spans="1:3">
      <c r="A17" t="s">
        <v>63</v>
      </c>
      <c r="B17" t="s">
        <v>92</v>
      </c>
      <c r="C17" t="s">
        <v>97</v>
      </c>
    </row>
    <row r="18" spans="1:3">
      <c r="A18" t="s">
        <v>64</v>
      </c>
      <c r="C18" t="s">
        <v>33</v>
      </c>
    </row>
    <row r="19" spans="1:3">
      <c r="A19" t="s">
        <v>66</v>
      </c>
      <c r="C19" t="s">
        <v>30</v>
      </c>
    </row>
    <row r="20" spans="1:3">
      <c r="A20" t="s">
        <v>67</v>
      </c>
      <c r="C20" t="s">
        <v>46</v>
      </c>
    </row>
    <row r="21" spans="1:3">
      <c r="A21" t="s">
        <v>69</v>
      </c>
    </row>
    <row r="22" spans="1:3">
      <c r="A22" t="s">
        <v>70</v>
      </c>
    </row>
    <row r="23" spans="1:3">
      <c r="A23" t="s">
        <v>72</v>
      </c>
    </row>
    <row r="24" spans="1:3">
      <c r="A24" t="s">
        <v>73</v>
      </c>
    </row>
    <row r="25" spans="1:3">
      <c r="A25" t="s">
        <v>75</v>
      </c>
    </row>
    <row r="26" spans="1:3">
      <c r="A26" t="s">
        <v>77</v>
      </c>
    </row>
    <row r="27" spans="1:3">
      <c r="A27" t="s">
        <v>79</v>
      </c>
    </row>
    <row r="28" spans="1:3">
      <c r="A28" t="s">
        <v>81</v>
      </c>
    </row>
    <row r="29" spans="1:3">
      <c r="A29" t="s">
        <v>83</v>
      </c>
    </row>
    <row r="30" spans="1:3">
      <c r="A30" t="s">
        <v>85</v>
      </c>
    </row>
    <row r="31" spans="1:3">
      <c r="A31" t="s">
        <v>87</v>
      </c>
    </row>
    <row r="32" spans="1:3">
      <c r="A32" t="s">
        <v>89</v>
      </c>
    </row>
    <row r="33" spans="1:1">
      <c r="A33" t="s">
        <v>91</v>
      </c>
    </row>
    <row r="34" spans="1:1">
      <c r="A34" t="s">
        <v>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D1" sqref="D1"/>
    </sheetView>
  </sheetViews>
  <sheetFormatPr defaultRowHeight="16.5"/>
  <cols>
    <col min="1" max="1" width="2.625" customWidth="1"/>
    <col min="2" max="2" width="2.25" customWidth="1"/>
    <col min="3" max="3" width="4.25" customWidth="1"/>
    <col min="4" max="8" width="11.75" customWidth="1"/>
  </cols>
  <sheetData>
    <row r="1" spans="1:9" ht="65.25" customHeight="1">
      <c r="A1" s="60"/>
      <c r="B1" s="61"/>
      <c r="C1" s="61"/>
      <c r="D1" s="61"/>
      <c r="E1" s="61"/>
      <c r="F1" s="61"/>
      <c r="G1" s="61"/>
      <c r="H1" s="61"/>
      <c r="I1" s="62"/>
    </row>
    <row r="2" spans="1:9" ht="31.5">
      <c r="A2" s="119" t="s">
        <v>184</v>
      </c>
      <c r="B2" s="120"/>
      <c r="C2" s="120"/>
      <c r="D2" s="120"/>
      <c r="E2" s="120"/>
      <c r="F2" s="120"/>
      <c r="G2" s="120"/>
      <c r="H2" s="120"/>
      <c r="I2" s="121"/>
    </row>
    <row r="3" spans="1:9" ht="15" customHeight="1">
      <c r="A3" s="63"/>
      <c r="B3" s="64"/>
      <c r="C3" s="64"/>
      <c r="D3" s="65"/>
      <c r="E3" s="65"/>
      <c r="F3" s="65"/>
      <c r="G3" s="64"/>
      <c r="H3" s="64"/>
      <c r="I3" s="66"/>
    </row>
    <row r="4" spans="1:9" ht="83.25" customHeight="1">
      <c r="A4" s="119" t="s">
        <v>235</v>
      </c>
      <c r="B4" s="120"/>
      <c r="C4" s="120"/>
      <c r="D4" s="120"/>
      <c r="E4" s="120"/>
      <c r="F4" s="120"/>
      <c r="G4" s="120"/>
      <c r="H4" s="120"/>
      <c r="I4" s="121"/>
    </row>
    <row r="5" spans="1:9">
      <c r="A5" s="63"/>
      <c r="B5" s="64"/>
      <c r="C5" s="64"/>
      <c r="D5" s="64"/>
      <c r="E5" s="64"/>
      <c r="F5" s="64"/>
      <c r="G5" s="64"/>
      <c r="H5" s="64"/>
      <c r="I5" s="66"/>
    </row>
    <row r="6" spans="1:9">
      <c r="A6" s="63"/>
      <c r="B6" s="64"/>
      <c r="C6" s="64"/>
      <c r="D6" s="64"/>
      <c r="E6" s="64"/>
      <c r="F6" s="64"/>
      <c r="G6" s="64"/>
      <c r="H6" s="64"/>
      <c r="I6" s="66"/>
    </row>
    <row r="7" spans="1:9">
      <c r="A7" s="63"/>
      <c r="B7" s="64"/>
      <c r="C7" s="64"/>
      <c r="D7" s="64"/>
      <c r="E7" s="64"/>
      <c r="F7" s="64"/>
      <c r="G7" s="64"/>
      <c r="H7" s="64"/>
      <c r="I7" s="66"/>
    </row>
    <row r="8" spans="1:9">
      <c r="A8" s="63"/>
      <c r="B8" s="64"/>
      <c r="C8" s="64"/>
      <c r="D8" s="64"/>
      <c r="E8" s="64"/>
      <c r="F8" s="64"/>
      <c r="G8" s="64"/>
      <c r="H8" s="64"/>
      <c r="I8" s="66"/>
    </row>
    <row r="9" spans="1:9">
      <c r="A9" s="63"/>
      <c r="B9" s="64"/>
      <c r="C9" s="64"/>
      <c r="D9" s="64"/>
      <c r="E9" s="64"/>
      <c r="F9" s="64"/>
      <c r="G9" s="64"/>
      <c r="H9" s="64"/>
      <c r="I9" s="66"/>
    </row>
    <row r="10" spans="1:9">
      <c r="A10" s="63"/>
      <c r="B10" s="64"/>
      <c r="C10" s="64"/>
      <c r="D10" s="64"/>
      <c r="E10" s="64"/>
      <c r="F10" s="64"/>
      <c r="G10" s="64"/>
      <c r="H10" s="64"/>
      <c r="I10" s="66"/>
    </row>
    <row r="11" spans="1:9">
      <c r="A11" s="63"/>
      <c r="B11" s="64"/>
      <c r="C11" s="64"/>
      <c r="D11" s="64"/>
      <c r="E11" s="64"/>
      <c r="F11" s="64"/>
      <c r="G11" s="64"/>
      <c r="H11" s="64"/>
      <c r="I11" s="66"/>
    </row>
    <row r="12" spans="1:9">
      <c r="A12" s="63"/>
      <c r="B12" s="64"/>
      <c r="C12" s="64"/>
      <c r="D12" s="64"/>
      <c r="E12" s="64"/>
      <c r="F12" s="64"/>
      <c r="G12" s="64"/>
      <c r="H12" s="64"/>
      <c r="I12" s="66"/>
    </row>
    <row r="13" spans="1:9">
      <c r="A13" s="63"/>
      <c r="B13" s="64"/>
      <c r="C13" s="64"/>
      <c r="D13" s="64"/>
      <c r="E13" s="64"/>
      <c r="F13" s="64"/>
      <c r="G13" s="64"/>
      <c r="H13" s="64"/>
      <c r="I13" s="66"/>
    </row>
    <row r="14" spans="1:9">
      <c r="A14" s="63"/>
      <c r="B14" s="64"/>
      <c r="C14" s="64"/>
      <c r="D14" s="64"/>
      <c r="E14" s="64"/>
      <c r="F14" s="64"/>
      <c r="G14" s="64"/>
      <c r="H14" s="64"/>
      <c r="I14" s="66"/>
    </row>
    <row r="15" spans="1:9">
      <c r="A15" s="63"/>
      <c r="B15" s="64"/>
      <c r="C15" s="64"/>
      <c r="D15" s="64"/>
      <c r="E15" s="64"/>
      <c r="F15" s="64"/>
      <c r="G15" s="64"/>
      <c r="H15" s="64"/>
      <c r="I15" s="66"/>
    </row>
    <row r="16" spans="1:9">
      <c r="A16" s="63"/>
      <c r="B16" s="64"/>
      <c r="C16" s="64"/>
      <c r="D16" s="64"/>
      <c r="E16" s="64"/>
      <c r="F16" s="64"/>
      <c r="G16" s="64"/>
      <c r="H16" s="64"/>
      <c r="I16" s="66"/>
    </row>
    <row r="17" spans="1:9">
      <c r="A17" s="63"/>
      <c r="B17" s="64"/>
      <c r="C17" s="64"/>
      <c r="D17" s="64"/>
      <c r="E17" s="64"/>
      <c r="F17" s="64"/>
      <c r="G17" s="64"/>
      <c r="H17" s="64"/>
      <c r="I17" s="66"/>
    </row>
    <row r="18" spans="1:9">
      <c r="A18" s="63"/>
      <c r="B18" s="64"/>
      <c r="C18" s="64"/>
      <c r="D18" s="64"/>
      <c r="E18" s="64"/>
      <c r="F18" s="64"/>
      <c r="G18" s="64"/>
      <c r="H18" s="64"/>
      <c r="I18" s="66"/>
    </row>
    <row r="19" spans="1:9">
      <c r="A19" s="63"/>
      <c r="B19" s="64"/>
      <c r="C19" s="64"/>
      <c r="D19" s="64"/>
      <c r="E19" s="64"/>
      <c r="F19" s="64"/>
      <c r="G19" s="64"/>
      <c r="H19" s="64"/>
      <c r="I19" s="66"/>
    </row>
    <row r="20" spans="1:9">
      <c r="A20" s="63"/>
      <c r="B20" s="64"/>
      <c r="C20" s="64"/>
      <c r="D20" s="64"/>
      <c r="E20" s="64"/>
      <c r="F20" s="64"/>
      <c r="G20" s="64"/>
      <c r="H20" s="64"/>
      <c r="I20" s="66"/>
    </row>
    <row r="21" spans="1:9">
      <c r="A21" s="63"/>
      <c r="B21" s="64"/>
      <c r="C21" s="64"/>
      <c r="D21" s="64"/>
      <c r="E21" s="64"/>
      <c r="F21" s="64"/>
      <c r="G21" s="64"/>
      <c r="H21" s="64"/>
      <c r="I21" s="66"/>
    </row>
    <row r="22" spans="1:9">
      <c r="A22" s="63"/>
      <c r="B22" s="64"/>
      <c r="C22" s="64"/>
      <c r="D22" s="64"/>
      <c r="E22" s="64"/>
      <c r="F22" s="64"/>
      <c r="G22" s="64"/>
      <c r="H22" s="64"/>
      <c r="I22" s="66"/>
    </row>
    <row r="23" spans="1:9">
      <c r="A23" s="63"/>
      <c r="B23" s="64"/>
      <c r="C23" s="64"/>
      <c r="D23" s="64"/>
      <c r="E23" s="64"/>
      <c r="F23" s="64"/>
      <c r="G23" s="64"/>
      <c r="H23" s="64"/>
      <c r="I23" s="66"/>
    </row>
    <row r="24" spans="1:9">
      <c r="A24" s="63"/>
      <c r="B24" s="64"/>
      <c r="C24" s="64"/>
      <c r="D24" s="64"/>
      <c r="E24" s="64"/>
      <c r="F24" s="64"/>
      <c r="G24" s="64"/>
      <c r="H24" s="64"/>
      <c r="I24" s="66"/>
    </row>
    <row r="25" spans="1:9">
      <c r="A25" s="63"/>
      <c r="B25" s="64"/>
      <c r="C25" s="64"/>
      <c r="D25" s="64"/>
      <c r="E25" s="64"/>
      <c r="F25" s="64"/>
      <c r="G25" s="64"/>
      <c r="H25" s="64"/>
      <c r="I25" s="66"/>
    </row>
    <row r="26" spans="1:9">
      <c r="A26" s="63"/>
      <c r="B26" s="64"/>
      <c r="C26" s="64"/>
      <c r="D26" s="64"/>
      <c r="E26" s="64"/>
      <c r="F26" s="64"/>
      <c r="G26" s="64"/>
      <c r="H26" s="64"/>
      <c r="I26" s="66"/>
    </row>
    <row r="27" spans="1:9">
      <c r="A27" s="63"/>
      <c r="B27" s="64"/>
      <c r="C27" s="64"/>
      <c r="D27" s="64"/>
      <c r="E27" s="64"/>
      <c r="F27" s="64"/>
      <c r="G27" s="64"/>
      <c r="H27" s="64"/>
      <c r="I27" s="66"/>
    </row>
    <row r="28" spans="1:9" ht="31.5">
      <c r="A28" s="119"/>
      <c r="B28" s="120"/>
      <c r="C28" s="120"/>
      <c r="D28" s="120"/>
      <c r="E28" s="120"/>
      <c r="F28" s="120"/>
      <c r="G28" s="120"/>
      <c r="H28" s="120"/>
      <c r="I28" s="121"/>
    </row>
    <row r="29" spans="1:9" ht="31.5">
      <c r="A29" s="119" t="s">
        <v>185</v>
      </c>
      <c r="B29" s="120"/>
      <c r="C29" s="120"/>
      <c r="D29" s="120"/>
      <c r="E29" s="120"/>
      <c r="F29" s="120"/>
      <c r="G29" s="120"/>
      <c r="H29" s="120"/>
      <c r="I29" s="121"/>
    </row>
    <row r="30" spans="1:9">
      <c r="A30" s="63"/>
      <c r="B30" s="64"/>
      <c r="C30" s="64"/>
      <c r="D30" s="64"/>
      <c r="E30" s="64"/>
      <c r="F30" s="64"/>
      <c r="G30" s="64"/>
      <c r="H30" s="64"/>
      <c r="I30" s="66"/>
    </row>
    <row r="31" spans="1:9">
      <c r="A31" s="63"/>
      <c r="B31" s="64"/>
      <c r="C31" s="64"/>
      <c r="D31" s="64"/>
      <c r="E31" s="64"/>
      <c r="F31" s="64"/>
      <c r="G31" s="64"/>
      <c r="H31" s="64"/>
      <c r="I31" s="66"/>
    </row>
    <row r="32" spans="1:9" ht="17.25" thickBot="1">
      <c r="A32" s="67"/>
      <c r="B32" s="68"/>
      <c r="C32" s="68"/>
      <c r="D32" s="68"/>
      <c r="E32" s="68"/>
      <c r="F32" s="68"/>
      <c r="G32" s="68"/>
      <c r="H32" s="68"/>
      <c r="I32" s="69"/>
    </row>
  </sheetData>
  <mergeCells count="4">
    <mergeCell ref="A2:I2"/>
    <mergeCell ref="A4:I4"/>
    <mergeCell ref="A28:I28"/>
    <mergeCell ref="A29:I29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4"/>
  <sheetViews>
    <sheetView workbookViewId="0">
      <selection activeCell="C23" sqref="C23"/>
    </sheetView>
  </sheetViews>
  <sheetFormatPr defaultRowHeight="16.5"/>
  <cols>
    <col min="1" max="1" width="3.25" customWidth="1"/>
    <col min="2" max="2" width="7.125" customWidth="1"/>
    <col min="3" max="3" width="77.875" customWidth="1"/>
  </cols>
  <sheetData>
    <row r="1" spans="2:3" ht="17.25">
      <c r="B1" s="70"/>
      <c r="C1" s="71"/>
    </row>
    <row r="2" spans="2:3" ht="33" customHeight="1">
      <c r="B2" s="122" t="s">
        <v>186</v>
      </c>
      <c r="C2" s="123"/>
    </row>
    <row r="3" spans="2:3" ht="21" customHeight="1">
      <c r="B3" s="72"/>
      <c r="C3" s="73"/>
    </row>
    <row r="4" spans="2:3" ht="23.25" customHeight="1">
      <c r="B4" s="72"/>
      <c r="C4" s="73"/>
    </row>
    <row r="5" spans="2:3" ht="33" customHeight="1">
      <c r="B5" s="74" t="s">
        <v>187</v>
      </c>
      <c r="C5" s="75" t="s">
        <v>206</v>
      </c>
    </row>
    <row r="6" spans="2:3" ht="21.75" customHeight="1">
      <c r="B6" s="74"/>
      <c r="C6" s="75"/>
    </row>
    <row r="7" spans="2:3" ht="33" customHeight="1">
      <c r="B7" s="74" t="s">
        <v>188</v>
      </c>
      <c r="C7" s="75" t="s">
        <v>189</v>
      </c>
    </row>
    <row r="8" spans="2:3" ht="20.25" customHeight="1">
      <c r="B8" s="74"/>
      <c r="C8" s="75"/>
    </row>
    <row r="9" spans="2:3" ht="33">
      <c r="B9" s="74" t="s">
        <v>190</v>
      </c>
      <c r="C9" s="75" t="s">
        <v>191</v>
      </c>
    </row>
    <row r="10" spans="2:3" ht="20.25" customHeight="1">
      <c r="B10" s="74"/>
      <c r="C10" s="75"/>
    </row>
    <row r="11" spans="2:3" ht="33" customHeight="1">
      <c r="B11" s="74" t="s">
        <v>192</v>
      </c>
      <c r="C11" s="117" t="s">
        <v>193</v>
      </c>
    </row>
    <row r="12" spans="2:3" ht="24.75" customHeight="1">
      <c r="B12" s="76"/>
      <c r="C12" s="75" t="s">
        <v>194</v>
      </c>
    </row>
    <row r="13" spans="2:3" ht="24.75" customHeight="1">
      <c r="B13" s="76"/>
      <c r="C13" s="75" t="s">
        <v>195</v>
      </c>
    </row>
    <row r="14" spans="2:3" ht="24.75" customHeight="1">
      <c r="B14" s="76"/>
      <c r="C14" s="75" t="s">
        <v>196</v>
      </c>
    </row>
    <row r="15" spans="2:3" ht="17.25" customHeight="1">
      <c r="B15" s="72"/>
      <c r="C15" s="73"/>
    </row>
    <row r="16" spans="2:3" ht="33" customHeight="1">
      <c r="B16" s="118" t="s">
        <v>197</v>
      </c>
      <c r="C16" s="78" t="s">
        <v>239</v>
      </c>
    </row>
    <row r="17" spans="2:3" ht="33" customHeight="1">
      <c r="B17" s="77"/>
      <c r="C17" s="78"/>
    </row>
    <row r="18" spans="2:3" ht="2.25" customHeight="1">
      <c r="B18" s="72"/>
      <c r="C18" s="73"/>
    </row>
    <row r="19" spans="2:3" ht="2.25" customHeight="1">
      <c r="B19" s="72"/>
      <c r="C19" s="73"/>
    </row>
    <row r="20" spans="2:3" ht="12" customHeight="1">
      <c r="B20" s="72"/>
      <c r="C20" s="73"/>
    </row>
    <row r="21" spans="2:3" ht="12" customHeight="1">
      <c r="B21" s="72"/>
      <c r="C21" s="73"/>
    </row>
    <row r="22" spans="2:3" ht="12" customHeight="1">
      <c r="B22" s="72"/>
      <c r="C22" s="73"/>
    </row>
    <row r="23" spans="2:3" ht="12" customHeight="1">
      <c r="B23" s="72"/>
      <c r="C23" s="73"/>
    </row>
    <row r="24" spans="2:3" ht="12" customHeight="1">
      <c r="B24" s="72"/>
      <c r="C24" s="73"/>
    </row>
    <row r="25" spans="2:3" ht="12" customHeight="1">
      <c r="B25" s="72"/>
      <c r="C25" s="73"/>
    </row>
    <row r="26" spans="2:3" ht="12" customHeight="1">
      <c r="B26" s="72"/>
      <c r="C26" s="73"/>
    </row>
    <row r="27" spans="2:3" ht="12" customHeight="1">
      <c r="B27" s="72"/>
      <c r="C27" s="73"/>
    </row>
    <row r="28" spans="2:3" ht="12" customHeight="1">
      <c r="B28" s="72"/>
      <c r="C28" s="73"/>
    </row>
    <row r="29" spans="2:3" ht="12" customHeight="1">
      <c r="B29" s="72"/>
      <c r="C29" s="73"/>
    </row>
    <row r="30" spans="2:3" ht="12" customHeight="1">
      <c r="B30" s="72"/>
      <c r="C30" s="73"/>
    </row>
    <row r="31" spans="2:3" ht="12" customHeight="1">
      <c r="B31" s="72"/>
      <c r="C31" s="73"/>
    </row>
    <row r="32" spans="2:3" ht="12" customHeight="1">
      <c r="B32" s="72"/>
      <c r="C32" s="73"/>
    </row>
    <row r="33" spans="2:3" ht="2.25" customHeight="1">
      <c r="B33" s="72"/>
      <c r="C33" s="73"/>
    </row>
    <row r="34" spans="2:3" ht="2.25" customHeight="1" thickBot="1">
      <c r="B34" s="79"/>
      <c r="C34" s="80"/>
    </row>
  </sheetData>
  <mergeCells count="1">
    <mergeCell ref="B2:C2"/>
  </mergeCells>
  <phoneticPr fontId="2" type="noConversion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view="pageBreakPreview" topLeftCell="A7" zoomScale="136" zoomScaleNormal="100" zoomScaleSheetLayoutView="136" workbookViewId="0">
      <selection activeCell="C9" sqref="C9"/>
    </sheetView>
  </sheetViews>
  <sheetFormatPr defaultRowHeight="16.5"/>
  <cols>
    <col min="1" max="1" width="11.875" customWidth="1"/>
    <col min="2" max="2" width="9.75" customWidth="1"/>
    <col min="3" max="3" width="10" customWidth="1"/>
    <col min="4" max="5" width="11.875" customWidth="1"/>
    <col min="6" max="6" width="10.5" customWidth="1"/>
    <col min="7" max="7" width="11" customWidth="1"/>
    <col min="8" max="8" width="11.875" customWidth="1"/>
  </cols>
  <sheetData>
    <row r="1" spans="1:8" ht="31.5">
      <c r="A1" s="137" t="s">
        <v>236</v>
      </c>
      <c r="B1" s="137"/>
      <c r="C1" s="137"/>
      <c r="D1" s="137"/>
      <c r="E1" s="137"/>
      <c r="F1" s="137"/>
      <c r="G1" s="137"/>
      <c r="H1" s="137"/>
    </row>
    <row r="2" spans="1:8" ht="31.5">
      <c r="A2" s="81"/>
      <c r="B2" s="81"/>
      <c r="C2" s="81"/>
      <c r="D2" s="81"/>
      <c r="E2" s="81"/>
      <c r="F2" s="81"/>
      <c r="G2" s="81"/>
      <c r="H2" s="82"/>
    </row>
    <row r="3" spans="1:8" ht="17.25" thickBot="1">
      <c r="A3" s="83"/>
      <c r="B3" s="84"/>
      <c r="C3" s="84"/>
      <c r="D3" s="84"/>
      <c r="E3" s="83"/>
      <c r="F3" s="84"/>
      <c r="G3" s="138" t="s">
        <v>207</v>
      </c>
      <c r="H3" s="138"/>
    </row>
    <row r="4" spans="1:8" ht="25.5" customHeight="1">
      <c r="A4" s="139" t="s">
        <v>198</v>
      </c>
      <c r="B4" s="140"/>
      <c r="C4" s="140"/>
      <c r="D4" s="141"/>
      <c r="E4" s="142" t="s">
        <v>199</v>
      </c>
      <c r="F4" s="140"/>
      <c r="G4" s="140"/>
      <c r="H4" s="143"/>
    </row>
    <row r="5" spans="1:8" ht="25.5" customHeight="1" thickBot="1">
      <c r="A5" s="85" t="s">
        <v>200</v>
      </c>
      <c r="B5" s="86" t="s">
        <v>201</v>
      </c>
      <c r="C5" s="86" t="s">
        <v>202</v>
      </c>
      <c r="D5" s="87" t="s">
        <v>203</v>
      </c>
      <c r="E5" s="88" t="s">
        <v>200</v>
      </c>
      <c r="F5" s="86" t="s">
        <v>201</v>
      </c>
      <c r="G5" s="86" t="s">
        <v>202</v>
      </c>
      <c r="H5" s="89" t="s">
        <v>203</v>
      </c>
    </row>
    <row r="6" spans="1:8" ht="25.5" customHeight="1" thickTop="1">
      <c r="A6" s="144" t="str">
        <f>'(법인회계) 세입 예산서'!A5</f>
        <v>사업수입</v>
      </c>
      <c r="B6" s="90">
        <f>'(법인회계) 세입 예산서'!D5</f>
        <v>859590</v>
      </c>
      <c r="C6" s="90">
        <f>'(법인회계) 세입 예산서'!E5</f>
        <v>885048</v>
      </c>
      <c r="D6" s="91">
        <f>B6-C6</f>
        <v>-25458</v>
      </c>
      <c r="E6" s="130" t="str">
        <f>'(법인회계) 세출 예산서'!B6</f>
        <v>수익사업비</v>
      </c>
      <c r="F6" s="90">
        <f>'(법인회계) 세출 예산서'!D6</f>
        <v>104585</v>
      </c>
      <c r="G6" s="90">
        <f>'(법인회계) 세출 예산서'!E6</f>
        <v>81848</v>
      </c>
      <c r="H6" s="92">
        <f t="shared" ref="H6:H20" si="0">F6-G6</f>
        <v>22737</v>
      </c>
    </row>
    <row r="7" spans="1:8" ht="25.5" customHeight="1">
      <c r="A7" s="133"/>
      <c r="B7" s="93">
        <f>B6/B$22</f>
        <v>0.94503017843204085</v>
      </c>
      <c r="C7" s="93">
        <f>C6/C$22</f>
        <v>1</v>
      </c>
      <c r="D7" s="94">
        <f>D6/D$22</f>
        <v>-1.0373237714937658</v>
      </c>
      <c r="E7" s="135"/>
      <c r="F7" s="93">
        <f>F6/F$22</f>
        <v>0.11498037577370024</v>
      </c>
      <c r="G7" s="93">
        <f>G6/G$22</f>
        <v>9.2478600030732799E-2</v>
      </c>
      <c r="H7" s="95">
        <f>H6/H$22</f>
        <v>0.92645261184907501</v>
      </c>
    </row>
    <row r="8" spans="1:8" ht="25.5" customHeight="1">
      <c r="A8" s="132" t="str">
        <f>'(법인회계) 세입 예산서'!A19</f>
        <v>재산수입</v>
      </c>
      <c r="B8" s="96">
        <v>0</v>
      </c>
      <c r="C8" s="96">
        <f>'(법인회계) 세입 예산서'!E19</f>
        <v>0</v>
      </c>
      <c r="D8" s="97">
        <f>B8-C8</f>
        <v>0</v>
      </c>
      <c r="E8" s="134" t="str">
        <f>'(법인회계) 세출 예산서'!A43</f>
        <v>인건비</v>
      </c>
      <c r="F8" s="96">
        <f>'(법인회계) 세출 예산서'!D43</f>
        <v>462905</v>
      </c>
      <c r="G8" s="96">
        <f>'(법인회계) 세출 예산서'!E43</f>
        <v>467000</v>
      </c>
      <c r="H8" s="98">
        <f t="shared" si="0"/>
        <v>-4095</v>
      </c>
    </row>
    <row r="9" spans="1:8" ht="25.5" customHeight="1">
      <c r="A9" s="133"/>
      <c r="B9" s="93">
        <f>B8/B$22</f>
        <v>0</v>
      </c>
      <c r="C9" s="93">
        <f>C8/C$22</f>
        <v>0</v>
      </c>
      <c r="D9" s="94">
        <f>D8/D$22</f>
        <v>0</v>
      </c>
      <c r="E9" s="135"/>
      <c r="F9" s="93">
        <f>F8/F$22</f>
        <v>0.50891610505832297</v>
      </c>
      <c r="G9" s="93">
        <f>G8/G$22</f>
        <v>0.5276549972430874</v>
      </c>
      <c r="H9" s="95">
        <f>H8/H$22</f>
        <v>-0.16685681688533943</v>
      </c>
    </row>
    <row r="10" spans="1:8" ht="25.5" customHeight="1">
      <c r="A10" s="132" t="str">
        <f>'(법인회계) 세입 예산서'!A25</f>
        <v>투자수입</v>
      </c>
      <c r="B10" s="96">
        <v>0</v>
      </c>
      <c r="C10" s="96">
        <f>'(법인회계) 세입 예산서'!E25</f>
        <v>0</v>
      </c>
      <c r="D10" s="97">
        <f>B10-C10</f>
        <v>0</v>
      </c>
      <c r="E10" s="126" t="str">
        <f>'(법인회계) 세출 예산서'!A63</f>
        <v>법인운영비</v>
      </c>
      <c r="F10" s="99">
        <f>'(법인회계) 세출 예산서'!D63</f>
        <v>6100</v>
      </c>
      <c r="G10" s="99">
        <f>'(법인회계) 세출 예산서'!E63</f>
        <v>6200</v>
      </c>
      <c r="H10" s="98">
        <f t="shared" si="0"/>
        <v>-100</v>
      </c>
    </row>
    <row r="11" spans="1:8" ht="25.5" customHeight="1">
      <c r="A11" s="133"/>
      <c r="B11" s="93">
        <f>B10/B$22</f>
        <v>0</v>
      </c>
      <c r="C11" s="93">
        <f>C10/C$22</f>
        <v>0</v>
      </c>
      <c r="D11" s="94">
        <f>D10/D$22</f>
        <v>0</v>
      </c>
      <c r="E11" s="127"/>
      <c r="F11" s="93">
        <f>F10/F$22</f>
        <v>6.7063182312910212E-3</v>
      </c>
      <c r="G11" s="93">
        <f>G10/G$22</f>
        <v>7.0052697706791045E-3</v>
      </c>
      <c r="H11" s="95">
        <f>H10/H$22</f>
        <v>-4.0746475429875315E-3</v>
      </c>
    </row>
    <row r="12" spans="1:8" ht="25.5" customHeight="1">
      <c r="A12" s="132" t="str">
        <f>'(법인회계) 세입 예산서'!A30</f>
        <v>기부금수입</v>
      </c>
      <c r="B12" s="99">
        <v>0</v>
      </c>
      <c r="C12" s="99">
        <f>'(법인회계) 세입 예산서'!E30</f>
        <v>0</v>
      </c>
      <c r="D12" s="97">
        <f>B12-C12</f>
        <v>0</v>
      </c>
      <c r="E12" s="134" t="str">
        <f>'(법인회계) 세출 예산서'!A73</f>
        <v>재산조성비</v>
      </c>
      <c r="F12" s="99">
        <v>0</v>
      </c>
      <c r="G12" s="99">
        <v>0</v>
      </c>
      <c r="H12" s="98">
        <f t="shared" si="0"/>
        <v>0</v>
      </c>
    </row>
    <row r="13" spans="1:8" ht="25.5" customHeight="1">
      <c r="A13" s="133"/>
      <c r="B13" s="93">
        <f>B12/B$22</f>
        <v>0</v>
      </c>
      <c r="C13" s="93">
        <f>C12/C$22</f>
        <v>0</v>
      </c>
      <c r="D13" s="94">
        <f>D12/D$22</f>
        <v>0</v>
      </c>
      <c r="E13" s="135"/>
      <c r="F13" s="93">
        <f>F12/F$22</f>
        <v>0</v>
      </c>
      <c r="G13" s="93">
        <f>G12/G$22</f>
        <v>0</v>
      </c>
      <c r="H13" s="95">
        <f>H12/H$22</f>
        <v>0</v>
      </c>
    </row>
    <row r="14" spans="1:8" ht="25.5" customHeight="1">
      <c r="A14" s="132" t="str">
        <f>'(법인회계) 세입 예산서'!A33</f>
        <v>차입금</v>
      </c>
      <c r="B14" s="99">
        <v>0</v>
      </c>
      <c r="C14" s="99">
        <f>'(법인회계) 세입 예산서'!E33</f>
        <v>0</v>
      </c>
      <c r="D14" s="97">
        <f>B14-C14</f>
        <v>0</v>
      </c>
      <c r="E14" s="134" t="str">
        <f>'(법인회계) 세출 예산서'!A79</f>
        <v>투자비</v>
      </c>
      <c r="F14" s="99">
        <v>0</v>
      </c>
      <c r="G14" s="99">
        <v>0</v>
      </c>
      <c r="H14" s="98">
        <f t="shared" si="0"/>
        <v>0</v>
      </c>
    </row>
    <row r="15" spans="1:8" ht="25.5" customHeight="1">
      <c r="A15" s="133"/>
      <c r="B15" s="93">
        <f>B14/B$22</f>
        <v>0</v>
      </c>
      <c r="C15" s="93">
        <f>C14/C$22</f>
        <v>0</v>
      </c>
      <c r="D15" s="94">
        <f>D14/D$22</f>
        <v>0</v>
      </c>
      <c r="E15" s="135"/>
      <c r="F15" s="93">
        <f>F14/F$22</f>
        <v>0</v>
      </c>
      <c r="G15" s="93">
        <f>G14/G$22</f>
        <v>0</v>
      </c>
      <c r="H15" s="95">
        <f>H14/H$22</f>
        <v>0</v>
      </c>
    </row>
    <row r="16" spans="1:8" ht="25.5" customHeight="1">
      <c r="A16" s="132" t="str">
        <f>'(법인회계) 세입 예산서'!A37</f>
        <v>행정활동수입</v>
      </c>
      <c r="B16" s="99">
        <v>0</v>
      </c>
      <c r="C16" s="99">
        <f>'(법인회계) 세입 예산서'!E37</f>
        <v>0</v>
      </c>
      <c r="D16" s="97">
        <f>B16-C16</f>
        <v>0</v>
      </c>
      <c r="E16" s="134" t="str">
        <f>'(법인회계) 세출 예산서'!A82</f>
        <v>전출금</v>
      </c>
      <c r="F16" s="99">
        <v>0</v>
      </c>
      <c r="G16" s="99">
        <v>0</v>
      </c>
      <c r="H16" s="98">
        <f t="shared" si="0"/>
        <v>0</v>
      </c>
    </row>
    <row r="17" spans="1:10" ht="25.5" customHeight="1">
      <c r="A17" s="133"/>
      <c r="B17" s="93">
        <f>B16/B$22</f>
        <v>0</v>
      </c>
      <c r="C17" s="93">
        <f>C16/C$22</f>
        <v>0</v>
      </c>
      <c r="D17" s="94">
        <f>D16/D$22</f>
        <v>0</v>
      </c>
      <c r="E17" s="135"/>
      <c r="F17" s="93">
        <f>F16/F$22</f>
        <v>0</v>
      </c>
      <c r="G17" s="93">
        <f>G16/G$22</f>
        <v>0</v>
      </c>
      <c r="H17" s="95">
        <f>H16/H$22</f>
        <v>0</v>
      </c>
    </row>
    <row r="18" spans="1:10" ht="25.5" customHeight="1">
      <c r="A18" s="124" t="str">
        <f>'(법인회계) 세입 예산서'!A45</f>
        <v>기타수입</v>
      </c>
      <c r="B18" s="99">
        <v>0</v>
      </c>
      <c r="C18" s="99">
        <f>'(법인회계) 세입 예산서'!E45</f>
        <v>0</v>
      </c>
      <c r="D18" s="97">
        <f>B18-C18</f>
        <v>0</v>
      </c>
      <c r="E18" s="134" t="str">
        <f>'(법인회계) 세출 예산서'!A85</f>
        <v>차입금</v>
      </c>
      <c r="F18" s="99">
        <f>'(법인회계) 세출 예산서'!D85</f>
        <v>336000</v>
      </c>
      <c r="G18" s="99">
        <f>'(법인회계) 세출 예산서'!E85</f>
        <v>330000</v>
      </c>
      <c r="H18" s="98">
        <f>F18-G18</f>
        <v>6000</v>
      </c>
    </row>
    <row r="19" spans="1:10" ht="25.5" customHeight="1">
      <c r="A19" s="136"/>
      <c r="B19" s="93">
        <f>B18/B$22</f>
        <v>0</v>
      </c>
      <c r="C19" s="93">
        <f>C18/C$22</f>
        <v>0</v>
      </c>
      <c r="D19" s="94">
        <f>D18/D$22</f>
        <v>0</v>
      </c>
      <c r="E19" s="135"/>
      <c r="F19" s="93">
        <f>F18/F$22</f>
        <v>0.36939720093668577</v>
      </c>
      <c r="G19" s="93">
        <f>G18/G$22</f>
        <v>0.37286113295550072</v>
      </c>
      <c r="H19" s="95">
        <f>H18/H$22</f>
        <v>0.24447885257925189</v>
      </c>
    </row>
    <row r="20" spans="1:10" ht="25.5" customHeight="1">
      <c r="A20" s="124" t="str">
        <f>'(법인회계) 세입 예산서'!A50</f>
        <v>이월금</v>
      </c>
      <c r="B20" s="99">
        <f>'(법인회계) 세입 예산서'!D50</f>
        <v>50000</v>
      </c>
      <c r="C20" s="99">
        <f>'(법인회계) 세입 예산서'!E50</f>
        <v>0</v>
      </c>
      <c r="D20" s="97">
        <f>B20-C20</f>
        <v>50000</v>
      </c>
      <c r="E20" s="126" t="str">
        <f>'(법인회계) 세출 예산서'!A91&amp;"및 이월금"</f>
        <v>기타지출및 이월금</v>
      </c>
      <c r="F20" s="99">
        <v>0</v>
      </c>
      <c r="G20" s="99">
        <v>0</v>
      </c>
      <c r="H20" s="98">
        <f t="shared" si="0"/>
        <v>0</v>
      </c>
    </row>
    <row r="21" spans="1:10" ht="25.5" customHeight="1" thickBot="1">
      <c r="A21" s="125"/>
      <c r="B21" s="93">
        <f>B20/B$22</f>
        <v>5.4969821567959189E-2</v>
      </c>
      <c r="C21" s="93">
        <f>C20/C$22</f>
        <v>0</v>
      </c>
      <c r="D21" s="94">
        <f>D20/D$22</f>
        <v>2.037323771493766</v>
      </c>
      <c r="E21" s="127"/>
      <c r="F21" s="93">
        <f>F20/F$22</f>
        <v>0</v>
      </c>
      <c r="G21" s="93">
        <f>G20/G$22</f>
        <v>0</v>
      </c>
      <c r="H21" s="95">
        <f>H20/H$22</f>
        <v>0</v>
      </c>
    </row>
    <row r="22" spans="1:10" ht="25.5" customHeight="1" thickTop="1">
      <c r="A22" s="128" t="s">
        <v>205</v>
      </c>
      <c r="B22" s="100">
        <f t="shared" ref="B22:D23" si="1">SUM(B6,B8,B10,B12,B14,B16,B18,B20)</f>
        <v>909590</v>
      </c>
      <c r="C22" s="100">
        <f t="shared" si="1"/>
        <v>885048</v>
      </c>
      <c r="D22" s="101">
        <f t="shared" si="1"/>
        <v>24542</v>
      </c>
      <c r="E22" s="130" t="s">
        <v>205</v>
      </c>
      <c r="F22" s="100">
        <f t="shared" ref="F22:H23" si="2">SUM(F6,F8,F10,F12,F14,F16,F18,F20)</f>
        <v>909590</v>
      </c>
      <c r="G22" s="100">
        <f t="shared" si="2"/>
        <v>885048</v>
      </c>
      <c r="H22" s="102">
        <f t="shared" si="2"/>
        <v>24542</v>
      </c>
      <c r="I22" t="s">
        <v>204</v>
      </c>
      <c r="J22" s="103" t="s">
        <v>204</v>
      </c>
    </row>
    <row r="23" spans="1:10" ht="25.5" customHeight="1" thickBot="1">
      <c r="A23" s="129"/>
      <c r="B23" s="104">
        <f t="shared" si="1"/>
        <v>1</v>
      </c>
      <c r="C23" s="104">
        <f t="shared" si="1"/>
        <v>1</v>
      </c>
      <c r="D23" s="105">
        <f t="shared" si="1"/>
        <v>1.0000000000000002</v>
      </c>
      <c r="E23" s="131"/>
      <c r="F23" s="104">
        <f t="shared" si="2"/>
        <v>1</v>
      </c>
      <c r="G23" s="104">
        <f t="shared" si="2"/>
        <v>1</v>
      </c>
      <c r="H23" s="106">
        <f t="shared" si="2"/>
        <v>0.99999999999999978</v>
      </c>
    </row>
    <row r="24" spans="1:10" ht="103.5" customHeight="1">
      <c r="A24" s="107"/>
      <c r="B24" s="108"/>
      <c r="C24" s="108"/>
      <c r="D24" s="109"/>
      <c r="E24" s="107"/>
      <c r="F24" s="108"/>
      <c r="G24" s="108"/>
      <c r="H24" s="109"/>
    </row>
    <row r="25" spans="1:10">
      <c r="A25" s="107"/>
      <c r="B25" s="108"/>
      <c r="C25" s="108"/>
      <c r="D25" s="109"/>
      <c r="E25" s="107"/>
      <c r="F25" s="108"/>
      <c r="G25" s="108"/>
      <c r="H25" s="109"/>
    </row>
    <row r="26" spans="1:10">
      <c r="A26" s="107"/>
      <c r="B26" s="108"/>
      <c r="C26" s="108"/>
      <c r="D26" s="109"/>
      <c r="E26" s="107"/>
      <c r="F26" s="108"/>
      <c r="G26" s="108"/>
      <c r="H26" s="109"/>
    </row>
    <row r="27" spans="1:10">
      <c r="A27" s="107"/>
      <c r="B27" s="108"/>
      <c r="C27" s="108"/>
      <c r="D27" s="109"/>
      <c r="E27" s="107"/>
      <c r="F27" s="108"/>
      <c r="G27" s="108"/>
      <c r="H27" s="109"/>
    </row>
    <row r="28" spans="1:10">
      <c r="A28" s="107"/>
      <c r="B28" s="108"/>
      <c r="C28" s="108"/>
      <c r="D28" s="109"/>
      <c r="E28" s="107"/>
      <c r="F28" s="108"/>
      <c r="G28" s="108"/>
      <c r="H28" s="109"/>
    </row>
    <row r="29" spans="1:10">
      <c r="A29" s="107"/>
      <c r="B29" s="108"/>
      <c r="C29" s="108" t="s">
        <v>204</v>
      </c>
      <c r="D29" s="109"/>
      <c r="E29" s="107"/>
      <c r="F29" s="108"/>
      <c r="G29" s="108"/>
      <c r="H29" s="109"/>
    </row>
    <row r="30" spans="1:10">
      <c r="A30" s="110"/>
      <c r="B30" s="110"/>
      <c r="C30" s="110"/>
      <c r="D30" s="110"/>
      <c r="E30" s="110"/>
      <c r="F30" s="110"/>
      <c r="G30" s="110"/>
      <c r="H30" s="111"/>
    </row>
    <row r="31" spans="1:10">
      <c r="A31" s="83"/>
      <c r="B31" s="84"/>
      <c r="C31" s="84"/>
      <c r="D31" s="84"/>
      <c r="E31" s="83"/>
      <c r="F31" s="84"/>
      <c r="G31" s="84"/>
      <c r="H31" s="112"/>
    </row>
  </sheetData>
  <mergeCells count="22">
    <mergeCell ref="A1:H1"/>
    <mergeCell ref="G3:H3"/>
    <mergeCell ref="A4:D4"/>
    <mergeCell ref="E4:H4"/>
    <mergeCell ref="A6:A7"/>
    <mergeCell ref="E6:E7"/>
    <mergeCell ref="A8:A9"/>
    <mergeCell ref="E8:E9"/>
    <mergeCell ref="A10:A11"/>
    <mergeCell ref="E10:E11"/>
    <mergeCell ref="A12:A13"/>
    <mergeCell ref="E12:E13"/>
    <mergeCell ref="A20:A21"/>
    <mergeCell ref="E20:E21"/>
    <mergeCell ref="A22:A23"/>
    <mergeCell ref="E22:E23"/>
    <mergeCell ref="A14:A15"/>
    <mergeCell ref="E14:E15"/>
    <mergeCell ref="A16:A17"/>
    <mergeCell ref="E16:E17"/>
    <mergeCell ref="A18:A19"/>
    <mergeCell ref="E18:E19"/>
  </mergeCells>
  <phoneticPr fontId="2" type="noConversion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7"/>
  <sheetViews>
    <sheetView showGridLines="0" view="pageBreakPreview" zoomScale="112" zoomScaleNormal="100" zoomScaleSheetLayoutView="112" workbookViewId="0">
      <pane ySplit="4" topLeftCell="A38" activePane="bottomLeft" state="frozen"/>
      <selection pane="bottomLeft" activeCell="E2" sqref="E2"/>
    </sheetView>
  </sheetViews>
  <sheetFormatPr defaultRowHeight="20.100000000000001" customHeight="1"/>
  <cols>
    <col min="1" max="2" width="2.625" style="1" customWidth="1"/>
    <col min="3" max="3" width="15" style="2" bestFit="1" customWidth="1"/>
    <col min="4" max="5" width="11.625" style="1" bestFit="1" customWidth="1"/>
    <col min="6" max="6" width="10.5" style="1" bestFit="1" customWidth="1"/>
    <col min="7" max="7" width="29.625" style="1" customWidth="1"/>
    <col min="8" max="8" width="11.875" style="1" bestFit="1" customWidth="1"/>
    <col min="9" max="16384" width="9" style="1"/>
  </cols>
  <sheetData>
    <row r="1" spans="1:8" ht="28.5" customHeight="1">
      <c r="A1" s="151" t="s">
        <v>237</v>
      </c>
      <c r="B1" s="151"/>
      <c r="C1" s="151"/>
      <c r="D1" s="151"/>
      <c r="E1" s="151"/>
      <c r="F1" s="151"/>
      <c r="G1" s="151"/>
      <c r="H1" s="151"/>
    </row>
    <row r="2" spans="1:8" s="31" customFormat="1" ht="21" customHeight="1">
      <c r="A2" s="29"/>
      <c r="B2" s="28"/>
      <c r="C2" s="29"/>
      <c r="D2" s="28"/>
      <c r="E2" s="28"/>
      <c r="F2" s="28"/>
      <c r="G2" s="30"/>
      <c r="H2" s="28"/>
    </row>
    <row r="3" spans="1:8" ht="20.100000000000001" customHeight="1">
      <c r="A3" s="3" t="s">
        <v>18</v>
      </c>
      <c r="B3" s="3"/>
      <c r="C3" s="3"/>
      <c r="D3" s="149" t="s">
        <v>122</v>
      </c>
      <c r="E3" s="149" t="s">
        <v>123</v>
      </c>
      <c r="F3" s="149" t="s">
        <v>124</v>
      </c>
      <c r="G3" s="145" t="s">
        <v>125</v>
      </c>
      <c r="H3" s="146"/>
    </row>
    <row r="4" spans="1:8" ht="20.100000000000001" customHeight="1">
      <c r="A4" s="3" t="s">
        <v>0</v>
      </c>
      <c r="B4" s="3" t="s">
        <v>1</v>
      </c>
      <c r="C4" s="3" t="s">
        <v>2</v>
      </c>
      <c r="D4" s="150"/>
      <c r="E4" s="150"/>
      <c r="F4" s="150"/>
      <c r="G4" s="147"/>
      <c r="H4" s="148"/>
    </row>
    <row r="5" spans="1:8" ht="20.100000000000001" customHeight="1">
      <c r="A5" s="4" t="s">
        <v>98</v>
      </c>
      <c r="B5" s="5"/>
      <c r="C5" s="6"/>
      <c r="D5" s="33">
        <f t="shared" ref="D5:E5" si="0">SUM(D6)</f>
        <v>859590</v>
      </c>
      <c r="E5" s="33">
        <f t="shared" si="0"/>
        <v>885048</v>
      </c>
      <c r="F5" s="33">
        <f>D5-E5</f>
        <v>-25458</v>
      </c>
      <c r="G5" s="7"/>
      <c r="H5" s="7"/>
    </row>
    <row r="6" spans="1:8" ht="20.100000000000001" customHeight="1">
      <c r="A6" s="37"/>
      <c r="B6" s="9" t="s">
        <v>99</v>
      </c>
      <c r="C6" s="10"/>
      <c r="D6" s="36">
        <f>SUM(D7:D7)</f>
        <v>859590</v>
      </c>
      <c r="E6" s="36">
        <f>SUM(E7:E7)</f>
        <v>885048</v>
      </c>
      <c r="F6" s="36">
        <f>SUM(F7:F7)</f>
        <v>-25458</v>
      </c>
      <c r="G6" s="11"/>
      <c r="H6" s="11"/>
    </row>
    <row r="7" spans="1:8" ht="20.100000000000001" customHeight="1">
      <c r="A7" s="37"/>
      <c r="B7" s="38"/>
      <c r="C7" s="39" t="s">
        <v>126</v>
      </c>
      <c r="D7" s="34">
        <f>H11+H18</f>
        <v>859590</v>
      </c>
      <c r="E7" s="34">
        <v>885048</v>
      </c>
      <c r="F7" s="34">
        <f>D7-E7</f>
        <v>-25458</v>
      </c>
      <c r="G7" s="32" t="s">
        <v>138</v>
      </c>
      <c r="H7" s="13"/>
    </row>
    <row r="8" spans="1:8" ht="20.100000000000001" customHeight="1">
      <c r="A8" s="37"/>
      <c r="B8" s="38"/>
      <c r="C8" s="39"/>
      <c r="D8" s="34"/>
      <c r="E8" s="34"/>
      <c r="F8" s="34"/>
      <c r="G8" s="13" t="s">
        <v>127</v>
      </c>
      <c r="H8" s="34">
        <f>321*45*2</f>
        <v>28890</v>
      </c>
    </row>
    <row r="9" spans="1:8" ht="20.100000000000001" customHeight="1">
      <c r="A9" s="37"/>
      <c r="B9" s="38"/>
      <c r="C9" s="39"/>
      <c r="D9" s="34"/>
      <c r="E9" s="34"/>
      <c r="F9" s="34"/>
      <c r="G9" s="13" t="s">
        <v>128</v>
      </c>
      <c r="H9" s="34">
        <f>963*250*2</f>
        <v>481500</v>
      </c>
    </row>
    <row r="10" spans="1:8" ht="20.100000000000001" customHeight="1">
      <c r="A10" s="37"/>
      <c r="B10" s="38"/>
      <c r="C10" s="39"/>
      <c r="D10" s="34"/>
      <c r="E10" s="34"/>
      <c r="F10" s="34"/>
      <c r="G10" s="13" t="s">
        <v>130</v>
      </c>
      <c r="H10" s="34">
        <f>30000</f>
        <v>30000</v>
      </c>
    </row>
    <row r="11" spans="1:8" ht="20.100000000000001" customHeight="1">
      <c r="A11" s="37"/>
      <c r="B11" s="38"/>
      <c r="C11" s="39"/>
      <c r="D11" s="34">
        <f>H11</f>
        <v>540390</v>
      </c>
      <c r="E11" s="34">
        <f>28890+423720+54918</f>
        <v>507528</v>
      </c>
      <c r="F11" s="34">
        <f>D11-E11</f>
        <v>32862</v>
      </c>
      <c r="G11" s="40" t="s">
        <v>131</v>
      </c>
      <c r="H11" s="113">
        <f>SUM(H8:H10)</f>
        <v>540390</v>
      </c>
    </row>
    <row r="12" spans="1:8" ht="20.100000000000001" customHeight="1">
      <c r="A12" s="37"/>
      <c r="B12" s="38"/>
      <c r="C12" s="39"/>
      <c r="D12" s="34"/>
      <c r="E12" s="34"/>
      <c r="F12" s="34"/>
      <c r="G12" s="32" t="s">
        <v>132</v>
      </c>
      <c r="H12" s="13"/>
    </row>
    <row r="13" spans="1:8" ht="20.100000000000001" customHeight="1">
      <c r="A13" s="37"/>
      <c r="B13" s="38"/>
      <c r="C13" s="39"/>
      <c r="D13" s="34"/>
      <c r="E13" s="34"/>
      <c r="F13" s="34"/>
      <c r="G13" s="13" t="s">
        <v>133</v>
      </c>
      <c r="H13" s="34">
        <f>486*130*4</f>
        <v>252720</v>
      </c>
    </row>
    <row r="14" spans="1:8" ht="20.100000000000001" customHeight="1">
      <c r="A14" s="37"/>
      <c r="B14" s="38"/>
      <c r="C14" s="39"/>
      <c r="D14" s="34"/>
      <c r="E14" s="34"/>
      <c r="F14" s="34"/>
      <c r="G14" s="13" t="s">
        <v>134</v>
      </c>
      <c r="H14" s="34">
        <f>64*80*4</f>
        <v>20480</v>
      </c>
    </row>
    <row r="15" spans="1:8" ht="20.100000000000001" customHeight="1">
      <c r="A15" s="37"/>
      <c r="B15" s="38"/>
      <c r="C15" s="39"/>
      <c r="D15" s="34"/>
      <c r="E15" s="34"/>
      <c r="F15" s="34"/>
      <c r="G15" s="13" t="s">
        <v>135</v>
      </c>
      <c r="H15" s="34">
        <f>10*10*4</f>
        <v>400</v>
      </c>
    </row>
    <row r="16" spans="1:8" ht="20.100000000000001" customHeight="1">
      <c r="A16" s="37"/>
      <c r="B16" s="38"/>
      <c r="C16" s="39"/>
      <c r="D16" s="34"/>
      <c r="E16" s="34"/>
      <c r="F16" s="34"/>
      <c r="G16" s="13" t="s">
        <v>136</v>
      </c>
      <c r="H16" s="34">
        <f>72*150*2</f>
        <v>21600</v>
      </c>
    </row>
    <row r="17" spans="1:8" ht="20.100000000000001" customHeight="1">
      <c r="A17" s="37"/>
      <c r="B17" s="38"/>
      <c r="C17" s="39"/>
      <c r="D17" s="34"/>
      <c r="E17" s="34"/>
      <c r="F17" s="34"/>
      <c r="G17" s="13" t="s">
        <v>137</v>
      </c>
      <c r="H17" s="34">
        <f>80*150*2</f>
        <v>24000</v>
      </c>
    </row>
    <row r="18" spans="1:8" ht="20.100000000000001" customHeight="1">
      <c r="A18" s="37"/>
      <c r="B18" s="38"/>
      <c r="C18" s="39"/>
      <c r="D18" s="34">
        <f>H18</f>
        <v>319200</v>
      </c>
      <c r="E18" s="34">
        <f>311040+20880+45600</f>
        <v>377520</v>
      </c>
      <c r="F18" s="34">
        <f>D18-E18</f>
        <v>-58320</v>
      </c>
      <c r="G18" s="40" t="s">
        <v>131</v>
      </c>
      <c r="H18" s="113">
        <f>SUM(H13:H17)</f>
        <v>319200</v>
      </c>
    </row>
    <row r="19" spans="1:8" ht="20.100000000000001" customHeight="1">
      <c r="A19" s="4" t="s">
        <v>100</v>
      </c>
      <c r="B19" s="5"/>
      <c r="C19" s="6"/>
      <c r="D19" s="7">
        <f>SUM(D20,D23)</f>
        <v>0</v>
      </c>
      <c r="E19" s="7">
        <f>SUM(E20,E23)</f>
        <v>0</v>
      </c>
      <c r="F19" s="7">
        <f>SUM(F20,F23)</f>
        <v>0</v>
      </c>
      <c r="G19" s="7">
        <f>SUM(G20,G23)</f>
        <v>0</v>
      </c>
      <c r="H19" s="7">
        <f>SUM(H20,H23)</f>
        <v>0</v>
      </c>
    </row>
    <row r="20" spans="1:8" ht="20.100000000000001" customHeight="1">
      <c r="A20" s="37"/>
      <c r="B20" s="9" t="s">
        <v>100</v>
      </c>
      <c r="C20" s="10"/>
      <c r="D20" s="11">
        <f>SUM(D21:D22)</f>
        <v>0</v>
      </c>
      <c r="E20" s="11">
        <f>SUM(E21:E22)</f>
        <v>0</v>
      </c>
      <c r="F20" s="11">
        <f>SUM(F21:F22)</f>
        <v>0</v>
      </c>
      <c r="G20" s="11">
        <f>SUM(G21:G22)</f>
        <v>0</v>
      </c>
      <c r="H20" s="11">
        <f>+F20-G20</f>
        <v>0</v>
      </c>
    </row>
    <row r="21" spans="1:8" ht="50.1" customHeight="1">
      <c r="A21" s="37"/>
      <c r="B21" s="38"/>
      <c r="C21" s="12" t="s">
        <v>102</v>
      </c>
      <c r="D21" s="14"/>
      <c r="E21" s="14"/>
      <c r="F21" s="14"/>
      <c r="G21" s="14"/>
      <c r="H21" s="14"/>
    </row>
    <row r="22" spans="1:8" ht="30" customHeight="1">
      <c r="A22" s="37"/>
      <c r="B22" s="38"/>
      <c r="C22" s="39" t="s">
        <v>129</v>
      </c>
      <c r="D22" s="14"/>
      <c r="E22" s="14"/>
      <c r="F22" s="14"/>
      <c r="G22" s="14"/>
      <c r="H22" s="14"/>
    </row>
    <row r="23" spans="1:8" ht="20.100000000000001" customHeight="1">
      <c r="A23" s="37"/>
      <c r="B23" s="15" t="s">
        <v>101</v>
      </c>
      <c r="C23" s="16"/>
      <c r="D23" s="11">
        <f>SUM(D24)</f>
        <v>0</v>
      </c>
      <c r="E23" s="11">
        <f>SUM(E24)</f>
        <v>0</v>
      </c>
      <c r="F23" s="11">
        <f>SUM(F24)</f>
        <v>0</v>
      </c>
      <c r="G23" s="11">
        <f>SUM(G24)</f>
        <v>0</v>
      </c>
      <c r="H23" s="11">
        <f>+F23-G23</f>
        <v>0</v>
      </c>
    </row>
    <row r="24" spans="1:8" ht="20.100000000000001" customHeight="1">
      <c r="A24" s="37"/>
      <c r="B24" s="38"/>
      <c r="C24" s="17" t="s">
        <v>101</v>
      </c>
      <c r="D24" s="14"/>
      <c r="E24" s="14"/>
      <c r="F24" s="14"/>
      <c r="G24" s="14"/>
      <c r="H24" s="14"/>
    </row>
    <row r="25" spans="1:8" ht="20.100000000000001" customHeight="1">
      <c r="A25" s="4" t="s">
        <v>103</v>
      </c>
      <c r="B25" s="5"/>
      <c r="C25" s="6"/>
      <c r="D25" s="7">
        <f>SUM(D26,D28)</f>
        <v>0</v>
      </c>
      <c r="E25" s="7">
        <f>SUM(E26,E28)</f>
        <v>0</v>
      </c>
      <c r="F25" s="7">
        <f>SUM(F26,F28)</f>
        <v>0</v>
      </c>
      <c r="G25" s="7">
        <f>SUM(G26,G28)</f>
        <v>0</v>
      </c>
      <c r="H25" s="7">
        <f>SUM(H26,H28)</f>
        <v>0</v>
      </c>
    </row>
    <row r="26" spans="1:8" ht="20.100000000000001" customHeight="1">
      <c r="A26" s="37"/>
      <c r="B26" s="15" t="s">
        <v>103</v>
      </c>
      <c r="C26" s="16"/>
      <c r="D26" s="11">
        <f>SUM(D27:D27)</f>
        <v>0</v>
      </c>
      <c r="E26" s="11">
        <f>SUM(E27:E27)</f>
        <v>0</v>
      </c>
      <c r="F26" s="11">
        <f>SUM(F27:F27)</f>
        <v>0</v>
      </c>
      <c r="G26" s="11">
        <f>SUM(G27:G27)</f>
        <v>0</v>
      </c>
      <c r="H26" s="11">
        <f>SUM(H27:H27)</f>
        <v>0</v>
      </c>
    </row>
    <row r="27" spans="1:8" ht="20.100000000000001" customHeight="1">
      <c r="A27" s="37"/>
      <c r="B27" s="38"/>
      <c r="C27" s="39" t="s">
        <v>120</v>
      </c>
      <c r="D27" s="14"/>
      <c r="E27" s="14"/>
      <c r="F27" s="14"/>
      <c r="G27" s="14"/>
      <c r="H27" s="14"/>
    </row>
    <row r="28" spans="1:8" ht="20.100000000000001" customHeight="1">
      <c r="A28" s="37"/>
      <c r="B28" s="15" t="s">
        <v>104</v>
      </c>
      <c r="C28" s="16"/>
      <c r="D28" s="11">
        <f>SUM(D29:D29)</f>
        <v>0</v>
      </c>
      <c r="E28" s="11">
        <f>SUM(E29:E29)</f>
        <v>0</v>
      </c>
      <c r="F28" s="11">
        <f>SUM(F29:F29)</f>
        <v>0</v>
      </c>
      <c r="G28" s="11">
        <f>SUM(G29:G29)</f>
        <v>0</v>
      </c>
      <c r="H28" s="11">
        <f>SUM(H29:H29)</f>
        <v>0</v>
      </c>
    </row>
    <row r="29" spans="1:8" ht="20.100000000000001" customHeight="1">
      <c r="A29" s="37"/>
      <c r="B29" s="38"/>
      <c r="C29" s="17" t="s">
        <v>121</v>
      </c>
      <c r="D29" s="14"/>
      <c r="E29" s="14"/>
      <c r="F29" s="14"/>
      <c r="G29" s="14"/>
      <c r="H29" s="14"/>
    </row>
    <row r="30" spans="1:8" ht="20.100000000000001" customHeight="1">
      <c r="A30" s="4" t="s">
        <v>105</v>
      </c>
      <c r="B30" s="5"/>
      <c r="C30" s="6"/>
      <c r="D30" s="7">
        <f t="shared" ref="D30" si="1">SUM(D31)</f>
        <v>0</v>
      </c>
      <c r="E30" s="7">
        <f t="shared" ref="E30" si="2">SUM(E31)</f>
        <v>0</v>
      </c>
      <c r="F30" s="7">
        <f t="shared" ref="F30" si="3">SUM(F31)</f>
        <v>0</v>
      </c>
      <c r="G30" s="7">
        <f>SUM(G31)</f>
        <v>0</v>
      </c>
      <c r="H30" s="7">
        <f t="shared" ref="H30:H40" si="4">+F30-G30</f>
        <v>0</v>
      </c>
    </row>
    <row r="31" spans="1:8" ht="20.100000000000001" customHeight="1">
      <c r="A31" s="37"/>
      <c r="B31" s="15" t="s">
        <v>105</v>
      </c>
      <c r="C31" s="16"/>
      <c r="D31" s="11">
        <f>SUM(D32)</f>
        <v>0</v>
      </c>
      <c r="E31" s="11">
        <f>SUM(E32)</f>
        <v>0</v>
      </c>
      <c r="F31" s="11">
        <f>SUM(F32)</f>
        <v>0</v>
      </c>
      <c r="G31" s="11">
        <f>SUM(G32)</f>
        <v>0</v>
      </c>
      <c r="H31" s="11">
        <f t="shared" si="4"/>
        <v>0</v>
      </c>
    </row>
    <row r="32" spans="1:8" ht="20.100000000000001" customHeight="1">
      <c r="A32" s="37"/>
      <c r="B32" s="38"/>
      <c r="C32" s="12" t="s">
        <v>105</v>
      </c>
      <c r="D32" s="14"/>
      <c r="E32" s="14"/>
      <c r="F32" s="14"/>
      <c r="G32" s="14"/>
      <c r="H32" s="14"/>
    </row>
    <row r="33" spans="1:8" ht="20.100000000000001" customHeight="1">
      <c r="A33" s="4" t="s">
        <v>7</v>
      </c>
      <c r="B33" s="5"/>
      <c r="C33" s="6"/>
      <c r="D33" s="7">
        <f>SUM(D34)</f>
        <v>0</v>
      </c>
      <c r="E33" s="7">
        <f>SUM(E34)</f>
        <v>0</v>
      </c>
      <c r="F33" s="7">
        <f>SUM(F34)</f>
        <v>0</v>
      </c>
      <c r="G33" s="7">
        <f>SUM(G34)</f>
        <v>0</v>
      </c>
      <c r="H33" s="7">
        <f t="shared" si="4"/>
        <v>0</v>
      </c>
    </row>
    <row r="34" spans="1:8" ht="20.100000000000001" customHeight="1">
      <c r="A34" s="37"/>
      <c r="B34" s="15" t="s">
        <v>7</v>
      </c>
      <c r="C34" s="16"/>
      <c r="D34" s="11">
        <f>SUM(D35:D36)</f>
        <v>0</v>
      </c>
      <c r="E34" s="11">
        <f>SUM(E35:E36)</f>
        <v>0</v>
      </c>
      <c r="F34" s="11">
        <f>SUM(F35:F36)</f>
        <v>0</v>
      </c>
      <c r="G34" s="11">
        <f>SUM(G35:G36)</f>
        <v>0</v>
      </c>
      <c r="H34" s="11">
        <f t="shared" si="4"/>
        <v>0</v>
      </c>
    </row>
    <row r="35" spans="1:8" ht="20.100000000000001" customHeight="1">
      <c r="A35" s="37"/>
      <c r="B35" s="38"/>
      <c r="C35" s="12" t="s">
        <v>8</v>
      </c>
      <c r="D35" s="14"/>
      <c r="E35" s="14"/>
      <c r="F35" s="14"/>
      <c r="G35" s="14"/>
      <c r="H35" s="14"/>
    </row>
    <row r="36" spans="1:8" ht="20.100000000000001" customHeight="1">
      <c r="A36" s="37"/>
      <c r="B36" s="38"/>
      <c r="C36" s="39" t="s">
        <v>9</v>
      </c>
      <c r="D36" s="14"/>
      <c r="E36" s="14"/>
      <c r="F36" s="14"/>
      <c r="G36" s="14"/>
      <c r="H36" s="14"/>
    </row>
    <row r="37" spans="1:8" ht="20.100000000000001" customHeight="1">
      <c r="A37" s="4" t="s">
        <v>3</v>
      </c>
      <c r="B37" s="5"/>
      <c r="C37" s="6"/>
      <c r="D37" s="7">
        <f>SUM(D38,D40,D42)</f>
        <v>0</v>
      </c>
      <c r="E37" s="7">
        <f>SUM(E38,E40,E42)</f>
        <v>0</v>
      </c>
      <c r="F37" s="7">
        <f>SUM(F38,F40,F42)</f>
        <v>0</v>
      </c>
      <c r="G37" s="7">
        <f>SUM(G38,G40,G42)</f>
        <v>0</v>
      </c>
      <c r="H37" s="7">
        <f t="shared" si="4"/>
        <v>0</v>
      </c>
    </row>
    <row r="38" spans="1:8" ht="20.100000000000001" customHeight="1">
      <c r="A38" s="37"/>
      <c r="B38" s="15" t="s">
        <v>106</v>
      </c>
      <c r="C38" s="16"/>
      <c r="D38" s="11">
        <f>SUM(D39)</f>
        <v>0</v>
      </c>
      <c r="E38" s="11">
        <f>SUM(E39)</f>
        <v>0</v>
      </c>
      <c r="F38" s="11">
        <f>SUM(F39)</f>
        <v>0</v>
      </c>
      <c r="G38" s="11">
        <f>SUM(G39)</f>
        <v>0</v>
      </c>
      <c r="H38" s="11">
        <f t="shared" si="4"/>
        <v>0</v>
      </c>
    </row>
    <row r="39" spans="1:8" ht="20.100000000000001" customHeight="1">
      <c r="A39" s="37"/>
      <c r="B39" s="38"/>
      <c r="C39" s="12" t="s">
        <v>106</v>
      </c>
      <c r="D39" s="14"/>
      <c r="E39" s="14"/>
      <c r="F39" s="14"/>
      <c r="G39" s="14"/>
      <c r="H39" s="14"/>
    </row>
    <row r="40" spans="1:8" ht="20.100000000000001" customHeight="1">
      <c r="A40" s="37"/>
      <c r="B40" s="15" t="s">
        <v>4</v>
      </c>
      <c r="C40" s="16"/>
      <c r="D40" s="11">
        <f>SUM(D41)</f>
        <v>0</v>
      </c>
      <c r="E40" s="11">
        <f>SUM(E41)</f>
        <v>0</v>
      </c>
      <c r="F40" s="11">
        <f>SUM(F41)</f>
        <v>0</v>
      </c>
      <c r="G40" s="11">
        <f>SUM(G41)</f>
        <v>0</v>
      </c>
      <c r="H40" s="11">
        <f t="shared" si="4"/>
        <v>0</v>
      </c>
    </row>
    <row r="41" spans="1:8" ht="20.100000000000001" customHeight="1">
      <c r="A41" s="37"/>
      <c r="B41" s="38"/>
      <c r="C41" s="39" t="s">
        <v>5</v>
      </c>
      <c r="D41" s="14"/>
      <c r="E41" s="14"/>
      <c r="F41" s="14"/>
      <c r="G41" s="14"/>
      <c r="H41" s="14"/>
    </row>
    <row r="42" spans="1:8" ht="20.100000000000001" customHeight="1">
      <c r="A42" s="37"/>
      <c r="B42" s="15" t="s">
        <v>107</v>
      </c>
      <c r="C42" s="16"/>
      <c r="D42" s="11">
        <f t="shared" ref="D42:H42" si="5">SUM(D43:D44)</f>
        <v>0</v>
      </c>
      <c r="E42" s="11">
        <f t="shared" si="5"/>
        <v>0</v>
      </c>
      <c r="F42" s="11">
        <f t="shared" si="5"/>
        <v>0</v>
      </c>
      <c r="G42" s="11">
        <f t="shared" si="5"/>
        <v>0</v>
      </c>
      <c r="H42" s="11">
        <f t="shared" si="5"/>
        <v>0</v>
      </c>
    </row>
    <row r="43" spans="1:8" ht="20.100000000000001" customHeight="1">
      <c r="A43" s="37"/>
      <c r="B43" s="38"/>
      <c r="C43" s="39" t="s">
        <v>108</v>
      </c>
      <c r="D43" s="14"/>
      <c r="E43" s="14"/>
      <c r="F43" s="14"/>
      <c r="G43" s="14"/>
      <c r="H43" s="14"/>
    </row>
    <row r="44" spans="1:8" ht="30" customHeight="1">
      <c r="A44" s="37"/>
      <c r="B44" s="38"/>
      <c r="C44" s="39" t="s">
        <v>6</v>
      </c>
      <c r="D44" s="14"/>
      <c r="E44" s="14"/>
      <c r="F44" s="14"/>
      <c r="G44" s="14"/>
      <c r="H44" s="14"/>
    </row>
    <row r="45" spans="1:8" ht="20.100000000000001" customHeight="1">
      <c r="A45" s="4" t="s">
        <v>10</v>
      </c>
      <c r="B45" s="5"/>
      <c r="C45" s="6"/>
      <c r="D45" s="7">
        <f t="shared" ref="D45" si="6">SUM(D46,D48)</f>
        <v>0</v>
      </c>
      <c r="E45" s="7">
        <f t="shared" ref="E45" si="7">SUM(E46,E48)</f>
        <v>0</v>
      </c>
      <c r="F45" s="7">
        <f t="shared" ref="F45" si="8">SUM(F46,F48)</f>
        <v>0</v>
      </c>
      <c r="G45" s="7">
        <f t="shared" ref="G45" si="9">SUM(G46,G48)</f>
        <v>0</v>
      </c>
      <c r="H45" s="7">
        <f t="shared" ref="H45" si="10">SUM(H46,H48)</f>
        <v>0</v>
      </c>
    </row>
    <row r="46" spans="1:8" ht="20.100000000000001" customHeight="1">
      <c r="A46" s="37"/>
      <c r="B46" s="15" t="s">
        <v>11</v>
      </c>
      <c r="C46" s="16"/>
      <c r="D46" s="11">
        <f>SUM(D47)</f>
        <v>0</v>
      </c>
      <c r="E46" s="11">
        <f>SUM(E47)</f>
        <v>0</v>
      </c>
      <c r="F46" s="11">
        <f>SUM(F47)</f>
        <v>0</v>
      </c>
      <c r="G46" s="11">
        <f>SUM(G47)</f>
        <v>0</v>
      </c>
      <c r="H46" s="11">
        <f t="shared" ref="H46:H51" si="11">+F46-G46</f>
        <v>0</v>
      </c>
    </row>
    <row r="47" spans="1:8" ht="20.100000000000001" customHeight="1">
      <c r="A47" s="37"/>
      <c r="B47" s="38"/>
      <c r="C47" s="12" t="s">
        <v>11</v>
      </c>
      <c r="D47" s="14"/>
      <c r="E47" s="14"/>
      <c r="F47" s="14"/>
      <c r="G47" s="14"/>
      <c r="H47" s="14"/>
    </row>
    <row r="48" spans="1:8" ht="20.100000000000001" customHeight="1">
      <c r="A48" s="37"/>
      <c r="B48" s="15" t="s">
        <v>12</v>
      </c>
      <c r="C48" s="16"/>
      <c r="D48" s="11">
        <f>SUM(D49)</f>
        <v>0</v>
      </c>
      <c r="E48" s="11">
        <f>SUM(E49)</f>
        <v>0</v>
      </c>
      <c r="F48" s="11">
        <f>SUM(F49)</f>
        <v>0</v>
      </c>
      <c r="G48" s="11">
        <f>SUM(G49)</f>
        <v>0</v>
      </c>
      <c r="H48" s="11">
        <f t="shared" si="11"/>
        <v>0</v>
      </c>
    </row>
    <row r="49" spans="1:8" ht="20.100000000000001" customHeight="1">
      <c r="A49" s="37"/>
      <c r="B49" s="38"/>
      <c r="C49" s="39" t="s">
        <v>12</v>
      </c>
      <c r="D49" s="14"/>
      <c r="E49" s="14"/>
      <c r="F49" s="14"/>
      <c r="G49" s="14"/>
      <c r="H49" s="14"/>
    </row>
    <row r="50" spans="1:8" ht="20.100000000000001" customHeight="1">
      <c r="A50" s="4" t="s">
        <v>13</v>
      </c>
      <c r="B50" s="5"/>
      <c r="C50" s="6"/>
      <c r="D50" s="7">
        <f>SUM(D51)</f>
        <v>50000</v>
      </c>
      <c r="E50" s="7">
        <f>SUM(E51)</f>
        <v>0</v>
      </c>
      <c r="F50" s="7">
        <f>D50-E50</f>
        <v>50000</v>
      </c>
      <c r="G50" s="7">
        <f>SUM(G51)</f>
        <v>0</v>
      </c>
      <c r="H50" s="7">
        <f t="shared" si="11"/>
        <v>50000</v>
      </c>
    </row>
    <row r="51" spans="1:8" ht="20.100000000000001" customHeight="1">
      <c r="A51" s="37"/>
      <c r="B51" s="15" t="s">
        <v>14</v>
      </c>
      <c r="C51" s="16"/>
      <c r="D51" s="11">
        <f>SUM(D52:D53)</f>
        <v>50000</v>
      </c>
      <c r="E51" s="11">
        <f>SUM(E52:E53)</f>
        <v>0</v>
      </c>
      <c r="F51" s="11">
        <f>D51-E51</f>
        <v>50000</v>
      </c>
      <c r="G51" s="11">
        <f>SUM(G52:G53)</f>
        <v>0</v>
      </c>
      <c r="H51" s="11">
        <f t="shared" si="11"/>
        <v>50000</v>
      </c>
    </row>
    <row r="52" spans="1:8" ht="30" customHeight="1">
      <c r="A52" s="37"/>
      <c r="B52" s="38"/>
      <c r="C52" s="17" t="s">
        <v>15</v>
      </c>
      <c r="D52" s="14"/>
      <c r="E52" s="14"/>
      <c r="F52" s="14"/>
      <c r="G52" s="14"/>
      <c r="H52" s="14"/>
    </row>
    <row r="53" spans="1:8" ht="20.100000000000001" customHeight="1">
      <c r="A53" s="37"/>
      <c r="B53" s="38"/>
      <c r="C53" s="39" t="s">
        <v>16</v>
      </c>
      <c r="D53" s="14">
        <v>50000</v>
      </c>
      <c r="E53" s="14">
        <v>0</v>
      </c>
      <c r="F53" s="14"/>
      <c r="G53" s="14" t="s">
        <v>178</v>
      </c>
      <c r="H53" s="14">
        <v>50000</v>
      </c>
    </row>
    <row r="54" spans="1:8" ht="20.100000000000001" customHeight="1">
      <c r="A54" s="19" t="s">
        <v>17</v>
      </c>
      <c r="B54" s="20"/>
      <c r="C54" s="21"/>
      <c r="D54" s="35">
        <f>SUM(D5,D19,D25,D30,D33,D37,D45,D50)</f>
        <v>909590</v>
      </c>
      <c r="E54" s="35">
        <f>SUM(E5,E19,E25,E30,E33,E37,E45,E50)</f>
        <v>885048</v>
      </c>
      <c r="F54" s="35">
        <f>SUM(F5,F19,F25,F30,F33,F37,F45,F50)</f>
        <v>24542</v>
      </c>
      <c r="G54" s="18"/>
      <c r="H54" s="18"/>
    </row>
    <row r="55" spans="1:8" s="24" customFormat="1" ht="20.100000000000001" customHeight="1">
      <c r="A55" s="22"/>
      <c r="B55" s="22"/>
      <c r="C55" s="22"/>
      <c r="D55" s="23"/>
      <c r="E55" s="23"/>
      <c r="F55" s="23"/>
      <c r="G55" s="23"/>
      <c r="H55" s="23"/>
    </row>
    <row r="56" spans="1:8" ht="20.100000000000001" customHeight="1">
      <c r="A56" s="26"/>
      <c r="B56" s="26"/>
      <c r="C56" s="8"/>
      <c r="D56" s="25"/>
      <c r="E56" s="25"/>
      <c r="F56" s="25"/>
      <c r="G56" s="25"/>
      <c r="H56" s="25"/>
    </row>
    <row r="57" spans="1:8" ht="20.100000000000001" customHeight="1">
      <c r="A57" s="26"/>
      <c r="B57" s="26"/>
      <c r="C57" s="8"/>
      <c r="D57" s="25"/>
      <c r="E57" s="25"/>
      <c r="F57" s="25"/>
      <c r="G57" s="25"/>
      <c r="H57" s="25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93" fitToWidth="0" fitToHeight="0" orientation="portrait" r:id="rId1"/>
  <headerFooter>
    <oddFooter>&amp;A&amp;R&amp;P페이지</oddFooter>
  </headerFooter>
  <rowBreaks count="1" manualBreakCount="1">
    <brk id="5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154"/>
  <sheetViews>
    <sheetView showGridLines="0" view="pageBreakPreview" zoomScaleNormal="100" zoomScaleSheetLayoutView="100" workbookViewId="0">
      <pane ySplit="4" topLeftCell="A92" activePane="bottomLeft" state="frozen"/>
      <selection pane="bottomLeft" sqref="A1:H1"/>
    </sheetView>
  </sheetViews>
  <sheetFormatPr defaultRowHeight="16.5"/>
  <cols>
    <col min="1" max="2" width="2.625" customWidth="1"/>
    <col min="3" max="3" width="13.875" bestFit="1" customWidth="1"/>
    <col min="4" max="5" width="11.625" bestFit="1" customWidth="1"/>
    <col min="6" max="6" width="10.5" bestFit="1" customWidth="1"/>
    <col min="7" max="7" width="41.25" customWidth="1"/>
    <col min="8" max="8" width="11.625" bestFit="1" customWidth="1"/>
  </cols>
  <sheetData>
    <row r="1" spans="1:8" s="1" customFormat="1" ht="36" customHeight="1">
      <c r="A1" s="155" t="s">
        <v>238</v>
      </c>
      <c r="B1" s="155"/>
      <c r="C1" s="155"/>
      <c r="D1" s="155"/>
      <c r="E1" s="155"/>
      <c r="F1" s="155"/>
      <c r="G1" s="155"/>
      <c r="H1" s="155"/>
    </row>
    <row r="2" spans="1:8" s="31" customFormat="1" ht="21" customHeight="1">
      <c r="A2" s="29"/>
      <c r="B2" s="28"/>
      <c r="C2" s="29"/>
      <c r="D2" s="28"/>
      <c r="E2" s="28"/>
      <c r="F2" s="28"/>
      <c r="G2" s="30"/>
      <c r="H2" s="28"/>
    </row>
    <row r="3" spans="1:8" s="1" customFormat="1" ht="20.100000000000001" customHeight="1">
      <c r="A3" s="3" t="s">
        <v>18</v>
      </c>
      <c r="B3" s="3"/>
      <c r="C3" s="3"/>
      <c r="D3" s="149" t="s">
        <v>139</v>
      </c>
      <c r="E3" s="149" t="s">
        <v>123</v>
      </c>
      <c r="F3" s="149" t="s">
        <v>124</v>
      </c>
      <c r="G3" s="145" t="s">
        <v>140</v>
      </c>
      <c r="H3" s="152"/>
    </row>
    <row r="4" spans="1:8" s="1" customFormat="1" ht="20.100000000000001" customHeight="1">
      <c r="A4" s="3" t="s">
        <v>0</v>
      </c>
      <c r="B4" s="3" t="s">
        <v>1</v>
      </c>
      <c r="C4" s="3" t="s">
        <v>141</v>
      </c>
      <c r="D4" s="150"/>
      <c r="E4" s="150"/>
      <c r="F4" s="150"/>
      <c r="G4" s="153"/>
      <c r="H4" s="154"/>
    </row>
    <row r="5" spans="1:8" s="1" customFormat="1" ht="20.100000000000001" customHeight="1">
      <c r="A5" s="4" t="s">
        <v>109</v>
      </c>
      <c r="B5" s="5"/>
      <c r="C5" s="6"/>
      <c r="D5" s="33">
        <f t="shared" ref="D5:F5" si="0">SUM(D6)</f>
        <v>104585</v>
      </c>
      <c r="E5" s="33">
        <f t="shared" si="0"/>
        <v>81848</v>
      </c>
      <c r="F5" s="33">
        <f t="shared" si="0"/>
        <v>22737</v>
      </c>
      <c r="G5" s="7"/>
      <c r="H5" s="33"/>
    </row>
    <row r="6" spans="1:8" s="1" customFormat="1" ht="20.100000000000001" customHeight="1">
      <c r="A6" s="37"/>
      <c r="B6" s="9" t="s">
        <v>110</v>
      </c>
      <c r="C6" s="10"/>
      <c r="D6" s="36">
        <f>SUM(D7:D7)</f>
        <v>104585</v>
      </c>
      <c r="E6" s="36">
        <f>SUM(E7:E7)</f>
        <v>81848</v>
      </c>
      <c r="F6" s="36">
        <f>SUM(F7:F7)</f>
        <v>22737</v>
      </c>
      <c r="G6" s="11"/>
      <c r="H6" s="36"/>
    </row>
    <row r="7" spans="1:8" s="1" customFormat="1" ht="20.100000000000001" customHeight="1">
      <c r="A7" s="37"/>
      <c r="B7" s="38"/>
      <c r="C7" s="53" t="s">
        <v>142</v>
      </c>
      <c r="D7" s="114">
        <f>H23+H42</f>
        <v>104585</v>
      </c>
      <c r="E7" s="114">
        <v>81848</v>
      </c>
      <c r="F7" s="114">
        <f>D7-E7</f>
        <v>22737</v>
      </c>
      <c r="G7" s="32" t="s">
        <v>143</v>
      </c>
      <c r="H7" s="47"/>
    </row>
    <row r="8" spans="1:8" s="1" customFormat="1" ht="20.100000000000001" customHeight="1">
      <c r="A8" s="37"/>
      <c r="B8" s="38"/>
      <c r="C8" s="115"/>
      <c r="D8" s="116"/>
      <c r="E8" s="116"/>
      <c r="F8" s="116"/>
      <c r="G8" s="59" t="s">
        <v>209</v>
      </c>
      <c r="H8" s="47">
        <v>1000</v>
      </c>
    </row>
    <row r="9" spans="1:8" s="1" customFormat="1" ht="20.100000000000001" customHeight="1">
      <c r="A9" s="37"/>
      <c r="B9" s="38"/>
      <c r="C9" s="115"/>
      <c r="D9" s="116"/>
      <c r="E9" s="116"/>
      <c r="F9" s="116"/>
      <c r="G9" s="59" t="s">
        <v>210</v>
      </c>
      <c r="H9" s="47">
        <f>600*2</f>
        <v>1200</v>
      </c>
    </row>
    <row r="10" spans="1:8" s="1" customFormat="1" ht="20.100000000000001" customHeight="1">
      <c r="A10" s="37"/>
      <c r="B10" s="38"/>
      <c r="C10" s="115"/>
      <c r="D10" s="116"/>
      <c r="E10" s="116"/>
      <c r="F10" s="116"/>
      <c r="G10" s="59" t="s">
        <v>211</v>
      </c>
      <c r="H10" s="47">
        <f>1500*2</f>
        <v>3000</v>
      </c>
    </row>
    <row r="11" spans="1:8" s="1" customFormat="1" ht="20.100000000000001" customHeight="1">
      <c r="A11" s="37"/>
      <c r="B11" s="38"/>
      <c r="C11" s="115"/>
      <c r="D11" s="116"/>
      <c r="E11" s="116"/>
      <c r="F11" s="116"/>
      <c r="G11" s="59" t="s">
        <v>212</v>
      </c>
      <c r="H11" s="47">
        <f>1000*2</f>
        <v>2000</v>
      </c>
    </row>
    <row r="12" spans="1:8" s="1" customFormat="1" ht="20.100000000000001" customHeight="1">
      <c r="A12" s="37"/>
      <c r="B12" s="38"/>
      <c r="C12" s="115"/>
      <c r="D12" s="116"/>
      <c r="E12" s="116"/>
      <c r="F12" s="116"/>
      <c r="G12" s="59" t="s">
        <v>213</v>
      </c>
      <c r="H12" s="47">
        <f>500*6</f>
        <v>3000</v>
      </c>
    </row>
    <row r="13" spans="1:8" s="1" customFormat="1" ht="20.100000000000001" customHeight="1">
      <c r="A13" s="37"/>
      <c r="B13" s="38"/>
      <c r="C13" s="115"/>
      <c r="D13" s="116"/>
      <c r="E13" s="116"/>
      <c r="F13" s="116"/>
      <c r="G13" s="59" t="s">
        <v>214</v>
      </c>
      <c r="H13" s="47">
        <v>3000</v>
      </c>
    </row>
    <row r="14" spans="1:8" s="1" customFormat="1" ht="20.100000000000001" customHeight="1">
      <c r="A14" s="37"/>
      <c r="B14" s="38"/>
      <c r="C14" s="115"/>
      <c r="D14" s="116"/>
      <c r="E14" s="116"/>
      <c r="F14" s="116"/>
      <c r="G14" s="59" t="s">
        <v>215</v>
      </c>
      <c r="H14" s="47">
        <f>100*17*2</f>
        <v>3400</v>
      </c>
    </row>
    <row r="15" spans="1:8" s="1" customFormat="1" ht="20.100000000000001" customHeight="1">
      <c r="A15" s="37"/>
      <c r="B15" s="38"/>
      <c r="C15" s="115"/>
      <c r="D15" s="116"/>
      <c r="E15" s="116"/>
      <c r="F15" s="116"/>
      <c r="G15" s="59" t="s">
        <v>216</v>
      </c>
      <c r="H15" s="47">
        <f>20*100</f>
        <v>2000</v>
      </c>
    </row>
    <row r="16" spans="1:8" s="1" customFormat="1" ht="20.100000000000001" customHeight="1">
      <c r="A16" s="37"/>
      <c r="B16" s="38"/>
      <c r="C16" s="115"/>
      <c r="D16" s="116"/>
      <c r="E16" s="116"/>
      <c r="F16" s="116"/>
      <c r="G16" s="59" t="s">
        <v>217</v>
      </c>
      <c r="H16" s="47">
        <f>15*260</f>
        <v>3900</v>
      </c>
    </row>
    <row r="17" spans="1:8" s="1" customFormat="1" ht="20.100000000000001" customHeight="1">
      <c r="A17" s="37"/>
      <c r="B17" s="38"/>
      <c r="C17" s="115"/>
      <c r="D17" s="116"/>
      <c r="E17" s="116"/>
      <c r="F17" s="116"/>
      <c r="G17" s="59" t="s">
        <v>218</v>
      </c>
      <c r="H17" s="47">
        <v>1000</v>
      </c>
    </row>
    <row r="18" spans="1:8" s="1" customFormat="1" ht="20.100000000000001" customHeight="1">
      <c r="A18" s="37"/>
      <c r="B18" s="38"/>
      <c r="C18" s="115"/>
      <c r="D18" s="116"/>
      <c r="E18" s="116"/>
      <c r="F18" s="116"/>
      <c r="G18" s="59" t="s">
        <v>219</v>
      </c>
      <c r="H18" s="47">
        <f>35*25*4</f>
        <v>3500</v>
      </c>
    </row>
    <row r="19" spans="1:8" s="1" customFormat="1" ht="20.100000000000001" customHeight="1">
      <c r="A19" s="37"/>
      <c r="B19" s="38"/>
      <c r="C19" s="115"/>
      <c r="D19" s="116"/>
      <c r="E19" s="116"/>
      <c r="F19" s="116"/>
      <c r="G19" s="59" t="s">
        <v>220</v>
      </c>
      <c r="H19" s="47">
        <v>500</v>
      </c>
    </row>
    <row r="20" spans="1:8" s="1" customFormat="1" ht="20.100000000000001" customHeight="1">
      <c r="A20" s="37"/>
      <c r="B20" s="38"/>
      <c r="C20" s="115"/>
      <c r="D20" s="116"/>
      <c r="E20" s="116"/>
      <c r="F20" s="116"/>
      <c r="G20" s="59" t="s">
        <v>221</v>
      </c>
      <c r="H20" s="47">
        <v>500</v>
      </c>
    </row>
    <row r="21" spans="1:8" s="1" customFormat="1" ht="20.100000000000001" customHeight="1">
      <c r="A21" s="37"/>
      <c r="B21" s="38"/>
      <c r="C21" s="115"/>
      <c r="D21" s="116"/>
      <c r="E21" s="116"/>
      <c r="F21" s="116"/>
      <c r="G21" s="59" t="s">
        <v>222</v>
      </c>
      <c r="H21" s="47">
        <f>20*17*10</f>
        <v>3400</v>
      </c>
    </row>
    <row r="22" spans="1:8" s="1" customFormat="1" ht="20.100000000000001" customHeight="1">
      <c r="A22" s="37"/>
      <c r="B22" s="38"/>
      <c r="C22" s="115"/>
      <c r="D22" s="116"/>
      <c r="E22" s="116"/>
      <c r="F22" s="116"/>
      <c r="G22" s="59" t="s">
        <v>223</v>
      </c>
      <c r="H22" s="47">
        <v>1000</v>
      </c>
    </row>
    <row r="23" spans="1:8" s="1" customFormat="1" ht="20.100000000000001" customHeight="1">
      <c r="A23" s="37"/>
      <c r="B23" s="38"/>
      <c r="C23" s="115"/>
      <c r="D23" s="116"/>
      <c r="E23" s="116"/>
      <c r="F23" s="116"/>
      <c r="G23" s="40" t="s">
        <v>131</v>
      </c>
      <c r="H23" s="113">
        <f>SUM(H8:H22)</f>
        <v>32400</v>
      </c>
    </row>
    <row r="24" spans="1:8" s="1" customFormat="1" ht="20.100000000000001" customHeight="1">
      <c r="A24" s="37"/>
      <c r="B24" s="38"/>
      <c r="C24" s="115"/>
      <c r="D24" s="116"/>
      <c r="E24" s="116"/>
      <c r="F24" s="116"/>
      <c r="G24" s="32" t="s">
        <v>132</v>
      </c>
      <c r="H24" s="47"/>
    </row>
    <row r="25" spans="1:8" s="1" customFormat="1" ht="20.100000000000001" customHeight="1">
      <c r="A25" s="37"/>
      <c r="B25" s="38"/>
      <c r="C25" s="115"/>
      <c r="D25" s="116"/>
      <c r="E25" s="116"/>
      <c r="F25" s="116"/>
      <c r="G25" s="59" t="s">
        <v>208</v>
      </c>
      <c r="H25" s="52">
        <v>800</v>
      </c>
    </row>
    <row r="26" spans="1:8" s="1" customFormat="1" ht="20.100000000000001" customHeight="1">
      <c r="A26" s="37"/>
      <c r="B26" s="38"/>
      <c r="C26" s="115"/>
      <c r="D26" s="116"/>
      <c r="E26" s="116"/>
      <c r="F26" s="116"/>
      <c r="G26" s="59" t="s">
        <v>166</v>
      </c>
      <c r="H26" s="52">
        <f>500*4</f>
        <v>2000</v>
      </c>
    </row>
    <row r="27" spans="1:8" s="1" customFormat="1" ht="20.100000000000001" customHeight="1">
      <c r="A27" s="37"/>
      <c r="B27" s="38"/>
      <c r="C27" s="115"/>
      <c r="D27" s="116"/>
      <c r="E27" s="116"/>
      <c r="F27" s="116"/>
      <c r="G27" s="59" t="s">
        <v>172</v>
      </c>
      <c r="H27" s="52">
        <f>500*4</f>
        <v>2000</v>
      </c>
    </row>
    <row r="28" spans="1:8" s="1" customFormat="1" ht="20.100000000000001" customHeight="1">
      <c r="A28" s="37"/>
      <c r="B28" s="38"/>
      <c r="C28" s="115"/>
      <c r="D28" s="116"/>
      <c r="E28" s="116"/>
      <c r="F28" s="116"/>
      <c r="G28" s="59" t="s">
        <v>171</v>
      </c>
      <c r="H28" s="52">
        <f>4000</f>
        <v>4000</v>
      </c>
    </row>
    <row r="29" spans="1:8" s="1" customFormat="1" ht="20.100000000000001" customHeight="1">
      <c r="A29" s="37"/>
      <c r="B29" s="38"/>
      <c r="C29" s="115"/>
      <c r="D29" s="116"/>
      <c r="E29" s="116"/>
      <c r="F29" s="116"/>
      <c r="G29" s="59" t="s">
        <v>175</v>
      </c>
      <c r="H29" s="52">
        <v>400</v>
      </c>
    </row>
    <row r="30" spans="1:8" s="1" customFormat="1" ht="20.100000000000001" customHeight="1">
      <c r="A30" s="37"/>
      <c r="B30" s="38"/>
      <c r="C30" s="115"/>
      <c r="D30" s="116"/>
      <c r="E30" s="116"/>
      <c r="F30" s="116"/>
      <c r="G30" s="59" t="s">
        <v>181</v>
      </c>
      <c r="H30" s="52">
        <f>35*20*4</f>
        <v>2800</v>
      </c>
    </row>
    <row r="31" spans="1:8" s="1" customFormat="1" ht="20.100000000000001" customHeight="1">
      <c r="A31" s="37"/>
      <c r="B31" s="38"/>
      <c r="C31" s="115"/>
      <c r="D31" s="116"/>
      <c r="E31" s="116"/>
      <c r="F31" s="116"/>
      <c r="G31" s="59" t="s">
        <v>182</v>
      </c>
      <c r="H31" s="52">
        <f>35*20*2</f>
        <v>1400</v>
      </c>
    </row>
    <row r="32" spans="1:8" s="1" customFormat="1" ht="20.100000000000001" customHeight="1">
      <c r="A32" s="37"/>
      <c r="B32" s="38"/>
      <c r="C32" s="115"/>
      <c r="D32" s="116"/>
      <c r="E32" s="116"/>
      <c r="F32" s="116"/>
      <c r="G32" s="59" t="s">
        <v>170</v>
      </c>
      <c r="H32" s="52">
        <f>10*10*4</f>
        <v>400</v>
      </c>
    </row>
    <row r="33" spans="1:8" s="1" customFormat="1" ht="20.100000000000001" customHeight="1">
      <c r="A33" s="37"/>
      <c r="B33" s="38"/>
      <c r="C33" s="115"/>
      <c r="D33" s="116"/>
      <c r="E33" s="116"/>
      <c r="F33" s="116"/>
      <c r="G33" s="59" t="s">
        <v>173</v>
      </c>
      <c r="H33" s="52">
        <v>400</v>
      </c>
    </row>
    <row r="34" spans="1:8" s="1" customFormat="1" ht="20.100000000000001" customHeight="1">
      <c r="A34" s="37"/>
      <c r="B34" s="38"/>
      <c r="C34" s="115"/>
      <c r="D34" s="116"/>
      <c r="E34" s="116"/>
      <c r="F34" s="116"/>
      <c r="G34" s="59" t="s">
        <v>174</v>
      </c>
      <c r="H34" s="52">
        <v>800</v>
      </c>
    </row>
    <row r="35" spans="1:8" s="1" customFormat="1" ht="20.100000000000001" customHeight="1">
      <c r="A35" s="37"/>
      <c r="B35" s="38"/>
      <c r="C35" s="115"/>
      <c r="D35" s="116"/>
      <c r="E35" s="116"/>
      <c r="F35" s="116"/>
      <c r="G35" s="59" t="s">
        <v>169</v>
      </c>
      <c r="H35" s="52">
        <f>10*100</f>
        <v>1000</v>
      </c>
    </row>
    <row r="36" spans="1:8" s="1" customFormat="1" ht="20.100000000000001" customHeight="1">
      <c r="A36" s="37"/>
      <c r="B36" s="38"/>
      <c r="C36" s="115"/>
      <c r="D36" s="116"/>
      <c r="E36" s="116"/>
      <c r="F36" s="116"/>
      <c r="G36" s="59" t="s">
        <v>183</v>
      </c>
      <c r="H36" s="52">
        <f>1800*4</f>
        <v>7200</v>
      </c>
    </row>
    <row r="37" spans="1:8" s="1" customFormat="1" ht="20.100000000000001" customHeight="1">
      <c r="A37" s="37"/>
      <c r="B37" s="38"/>
      <c r="C37" s="115"/>
      <c r="D37" s="116"/>
      <c r="E37" s="116"/>
      <c r="F37" s="116"/>
      <c r="G37" s="59" t="s">
        <v>234</v>
      </c>
      <c r="H37" s="52">
        <v>1385</v>
      </c>
    </row>
    <row r="38" spans="1:8" s="1" customFormat="1" ht="20.100000000000001" customHeight="1">
      <c r="A38" s="37"/>
      <c r="B38" s="38"/>
      <c r="C38" s="115"/>
      <c r="D38" s="116"/>
      <c r="E38" s="116"/>
      <c r="F38" s="116"/>
      <c r="G38" s="59" t="s">
        <v>176</v>
      </c>
      <c r="H38" s="52">
        <f>400</f>
        <v>400</v>
      </c>
    </row>
    <row r="39" spans="1:8" s="1" customFormat="1" ht="20.100000000000001" customHeight="1">
      <c r="A39" s="37"/>
      <c r="B39" s="38"/>
      <c r="C39" s="115"/>
      <c r="D39" s="116"/>
      <c r="E39" s="116"/>
      <c r="F39" s="116"/>
      <c r="G39" s="59" t="s">
        <v>177</v>
      </c>
      <c r="H39" s="52">
        <f>100*3*4</f>
        <v>1200</v>
      </c>
    </row>
    <row r="40" spans="1:8" s="1" customFormat="1" ht="20.100000000000001" customHeight="1">
      <c r="A40" s="37"/>
      <c r="B40" s="38"/>
      <c r="C40" s="115"/>
      <c r="D40" s="116"/>
      <c r="E40" s="116"/>
      <c r="F40" s="116"/>
      <c r="G40" s="59" t="s">
        <v>167</v>
      </c>
      <c r="H40" s="52">
        <f>400</f>
        <v>400</v>
      </c>
    </row>
    <row r="41" spans="1:8" s="1" customFormat="1" ht="20.100000000000001" customHeight="1">
      <c r="A41" s="37"/>
      <c r="B41" s="38"/>
      <c r="C41" s="115"/>
      <c r="D41" s="116"/>
      <c r="E41" s="116"/>
      <c r="F41" s="116"/>
      <c r="G41" s="59" t="s">
        <v>168</v>
      </c>
      <c r="H41" s="52">
        <f>22800*2</f>
        <v>45600</v>
      </c>
    </row>
    <row r="42" spans="1:8" s="1" customFormat="1" ht="20.100000000000001" customHeight="1">
      <c r="A42" s="37"/>
      <c r="B42" s="38"/>
      <c r="C42" s="43"/>
      <c r="D42" s="47"/>
      <c r="E42" s="47"/>
      <c r="F42" s="47"/>
      <c r="G42" s="40" t="s">
        <v>131</v>
      </c>
      <c r="H42" s="113">
        <f>SUM(H25:H41)</f>
        <v>72185</v>
      </c>
    </row>
    <row r="43" spans="1:8" s="1" customFormat="1" ht="20.100000000000001" customHeight="1">
      <c r="A43" s="4" t="s">
        <v>19</v>
      </c>
      <c r="B43" s="5"/>
      <c r="C43" s="6"/>
      <c r="D43" s="33">
        <f>SUM(D44,D59,D61)</f>
        <v>462905</v>
      </c>
      <c r="E43" s="33">
        <f>SUM(E44,E59,E61)</f>
        <v>467000</v>
      </c>
      <c r="F43" s="33">
        <f>D43-E43</f>
        <v>-4095</v>
      </c>
      <c r="G43" s="33">
        <f>SUM(G44,G59,G61)</f>
        <v>0</v>
      </c>
      <c r="H43" s="33"/>
    </row>
    <row r="44" spans="1:8" s="1" customFormat="1" ht="20.100000000000001" customHeight="1">
      <c r="A44" s="37"/>
      <c r="B44" s="9" t="s">
        <v>111</v>
      </c>
      <c r="C44" s="10"/>
      <c r="D44" s="36">
        <f t="shared" ref="D44:G44" si="1">SUM(D45)</f>
        <v>462905</v>
      </c>
      <c r="E44" s="36">
        <f t="shared" si="1"/>
        <v>467000</v>
      </c>
      <c r="F44" s="36">
        <f>D44-E44</f>
        <v>-4095</v>
      </c>
      <c r="G44" s="36">
        <f t="shared" si="1"/>
        <v>0</v>
      </c>
      <c r="H44" s="36"/>
    </row>
    <row r="45" spans="1:8" s="1" customFormat="1" ht="20.100000000000001" customHeight="1">
      <c r="A45" s="37"/>
      <c r="B45" s="38"/>
      <c r="C45" s="45" t="s">
        <v>144</v>
      </c>
      <c r="D45" s="46">
        <f>H48+H53+H58</f>
        <v>462905</v>
      </c>
      <c r="E45" s="46">
        <f>114000+148056+204944</f>
        <v>467000</v>
      </c>
      <c r="F45" s="46">
        <f>D45-E45</f>
        <v>-4095</v>
      </c>
      <c r="G45" s="41" t="s">
        <v>145</v>
      </c>
      <c r="H45" s="47"/>
    </row>
    <row r="46" spans="1:8" s="1" customFormat="1" ht="20.100000000000001" customHeight="1">
      <c r="A46" s="37"/>
      <c r="B46" s="38"/>
      <c r="C46" s="48"/>
      <c r="D46" s="49"/>
      <c r="E46" s="49"/>
      <c r="F46" s="49"/>
      <c r="G46" s="59" t="s">
        <v>146</v>
      </c>
      <c r="H46" s="47">
        <f>1500*12</f>
        <v>18000</v>
      </c>
    </row>
    <row r="47" spans="1:8" s="1" customFormat="1" ht="20.100000000000001" customHeight="1">
      <c r="A47" s="37"/>
      <c r="B47" s="38"/>
      <c r="C47" s="48"/>
      <c r="D47" s="49"/>
      <c r="E47" s="49"/>
      <c r="F47" s="49"/>
      <c r="G47" s="59" t="s">
        <v>179</v>
      </c>
      <c r="H47" s="47">
        <f>4500*2*12</f>
        <v>108000</v>
      </c>
    </row>
    <row r="48" spans="1:8" s="1" customFormat="1" ht="20.100000000000001" customHeight="1">
      <c r="A48" s="37"/>
      <c r="B48" s="38"/>
      <c r="C48" s="48"/>
      <c r="D48" s="49">
        <f>H48</f>
        <v>126000</v>
      </c>
      <c r="E48" s="49">
        <v>114000</v>
      </c>
      <c r="F48" s="49">
        <f>D48-E48</f>
        <v>12000</v>
      </c>
      <c r="G48" s="40" t="s">
        <v>131</v>
      </c>
      <c r="H48" s="113">
        <f>SUM(H46:H47)</f>
        <v>126000</v>
      </c>
    </row>
    <row r="49" spans="1:8" s="1" customFormat="1" ht="20.100000000000001" customHeight="1">
      <c r="A49" s="37"/>
      <c r="B49" s="38"/>
      <c r="C49" s="48"/>
      <c r="D49" s="49"/>
      <c r="E49" s="49"/>
      <c r="F49" s="49"/>
      <c r="G49" s="32" t="s">
        <v>147</v>
      </c>
      <c r="H49" s="47"/>
    </row>
    <row r="50" spans="1:8" s="1" customFormat="1" ht="20.100000000000001" customHeight="1">
      <c r="A50" s="37"/>
      <c r="B50" s="38"/>
      <c r="C50" s="48"/>
      <c r="D50" s="49"/>
      <c r="E50" s="49"/>
      <c r="F50" s="49"/>
      <c r="G50" s="59" t="s">
        <v>224</v>
      </c>
      <c r="H50" s="47">
        <f>800*17*12</f>
        <v>163200</v>
      </c>
    </row>
    <row r="51" spans="1:8" s="1" customFormat="1" ht="20.100000000000001" customHeight="1">
      <c r="A51" s="37"/>
      <c r="B51" s="38"/>
      <c r="C51" s="48"/>
      <c r="D51" s="49"/>
      <c r="E51" s="49"/>
      <c r="F51" s="49"/>
      <c r="G51" s="59" t="s">
        <v>225</v>
      </c>
      <c r="H51" s="47">
        <f>150*5*12</f>
        <v>9000</v>
      </c>
    </row>
    <row r="52" spans="1:8" s="1" customFormat="1" ht="20.100000000000001" customHeight="1">
      <c r="A52" s="37"/>
      <c r="B52" s="38"/>
      <c r="C52" s="48"/>
      <c r="D52" s="49"/>
      <c r="E52" s="49"/>
      <c r="F52" s="49"/>
      <c r="G52" s="59" t="s">
        <v>226</v>
      </c>
      <c r="H52" s="47">
        <f>800*2*12*0.17</f>
        <v>3264.0000000000005</v>
      </c>
    </row>
    <row r="53" spans="1:8" s="1" customFormat="1" ht="20.100000000000001" customHeight="1">
      <c r="A53" s="37"/>
      <c r="B53" s="38"/>
      <c r="C53" s="48"/>
      <c r="D53" s="49">
        <f>H53</f>
        <v>175464</v>
      </c>
      <c r="E53" s="49">
        <v>148056</v>
      </c>
      <c r="F53" s="49">
        <f>D53-E53</f>
        <v>27408</v>
      </c>
      <c r="G53" s="40" t="s">
        <v>131</v>
      </c>
      <c r="H53" s="113">
        <f>SUM(H50:H52)</f>
        <v>175464</v>
      </c>
    </row>
    <row r="54" spans="1:8" s="1" customFormat="1" ht="20.100000000000001" customHeight="1">
      <c r="A54" s="37"/>
      <c r="B54" s="38"/>
      <c r="C54" s="48"/>
      <c r="D54" s="49"/>
      <c r="E54" s="49"/>
      <c r="F54" s="49"/>
      <c r="G54" s="32" t="s">
        <v>148</v>
      </c>
      <c r="H54" s="47"/>
    </row>
    <row r="55" spans="1:8" s="1" customFormat="1" ht="20.100000000000001" customHeight="1">
      <c r="A55" s="37"/>
      <c r="B55" s="38"/>
      <c r="C55" s="48"/>
      <c r="D55" s="49"/>
      <c r="E55" s="49"/>
      <c r="F55" s="49"/>
      <c r="G55" s="59" t="s">
        <v>227</v>
      </c>
      <c r="H55" s="47">
        <f>67*15*36*4</f>
        <v>144720</v>
      </c>
    </row>
    <row r="56" spans="1:8" s="1" customFormat="1" ht="20.100000000000001" customHeight="1">
      <c r="A56" s="37"/>
      <c r="B56" s="38"/>
      <c r="C56" s="48"/>
      <c r="D56" s="49"/>
      <c r="E56" s="49"/>
      <c r="F56" s="49"/>
      <c r="G56" s="59" t="s">
        <v>228</v>
      </c>
      <c r="H56" s="47">
        <f>300*12</f>
        <v>3600</v>
      </c>
    </row>
    <row r="57" spans="1:8" s="1" customFormat="1" ht="20.100000000000001" customHeight="1">
      <c r="A57" s="37"/>
      <c r="B57" s="38"/>
      <c r="C57" s="48"/>
      <c r="D57" s="49"/>
      <c r="E57" s="49"/>
      <c r="F57" s="49"/>
      <c r="G57" s="59" t="s">
        <v>180</v>
      </c>
      <c r="H57" s="47">
        <f>67*8*36*4*0.17-0.28</f>
        <v>13121</v>
      </c>
    </row>
    <row r="58" spans="1:8" s="1" customFormat="1" ht="20.100000000000001" customHeight="1">
      <c r="A58" s="37"/>
      <c r="B58" s="38"/>
      <c r="C58" s="50"/>
      <c r="D58" s="51">
        <f>H58</f>
        <v>161441</v>
      </c>
      <c r="E58" s="51">
        <v>204944</v>
      </c>
      <c r="F58" s="51">
        <f>D58-E58</f>
        <v>-43503</v>
      </c>
      <c r="G58" s="40" t="s">
        <v>131</v>
      </c>
      <c r="H58" s="113">
        <f>SUM(H55:H57)</f>
        <v>161441</v>
      </c>
    </row>
    <row r="59" spans="1:8" s="1" customFormat="1" ht="20.100000000000001" customHeight="1">
      <c r="A59" s="37"/>
      <c r="B59" s="15" t="s">
        <v>112</v>
      </c>
      <c r="C59" s="16"/>
      <c r="D59" s="36">
        <f t="shared" ref="D59:G59" si="2">SUM(D60)</f>
        <v>0</v>
      </c>
      <c r="E59" s="36">
        <f t="shared" si="2"/>
        <v>0</v>
      </c>
      <c r="F59" s="36">
        <f t="shared" si="2"/>
        <v>0</v>
      </c>
      <c r="G59" s="36">
        <f t="shared" si="2"/>
        <v>0</v>
      </c>
      <c r="H59" s="36"/>
    </row>
    <row r="60" spans="1:8" s="1" customFormat="1" ht="20.100000000000001" customHeight="1">
      <c r="A60" s="37"/>
      <c r="B60" s="38"/>
      <c r="C60" s="44" t="s">
        <v>149</v>
      </c>
      <c r="D60" s="52"/>
      <c r="E60" s="52"/>
      <c r="F60" s="47"/>
      <c r="G60" s="47"/>
      <c r="H60" s="47"/>
    </row>
    <row r="61" spans="1:8" s="1" customFormat="1" ht="20.100000000000001" customHeight="1">
      <c r="A61" s="37"/>
      <c r="B61" s="15" t="s">
        <v>20</v>
      </c>
      <c r="C61" s="16"/>
      <c r="D61" s="36">
        <f>SUM(D62:D62)</f>
        <v>0</v>
      </c>
      <c r="E61" s="36">
        <f>SUM(E62:E62)</f>
        <v>0</v>
      </c>
      <c r="F61" s="36">
        <f>SUM(F62:F62)</f>
        <v>0</v>
      </c>
      <c r="G61" s="36">
        <f>SUM(G62:G62)</f>
        <v>0</v>
      </c>
      <c r="H61" s="36"/>
    </row>
    <row r="62" spans="1:8" s="1" customFormat="1" ht="20.100000000000001" customHeight="1">
      <c r="A62" s="37"/>
      <c r="B62" s="38"/>
      <c r="C62" s="44" t="s">
        <v>150</v>
      </c>
      <c r="D62" s="52"/>
      <c r="E62" s="52"/>
      <c r="F62" s="47"/>
      <c r="G62" s="47"/>
      <c r="H62" s="47"/>
    </row>
    <row r="63" spans="1:8" s="1" customFormat="1" ht="20.100000000000001" customHeight="1">
      <c r="A63" s="4" t="s">
        <v>113</v>
      </c>
      <c r="B63" s="5"/>
      <c r="C63" s="6"/>
      <c r="D63" s="33">
        <f>SUM(D64,D67)</f>
        <v>6100</v>
      </c>
      <c r="E63" s="33">
        <f>SUM(E64,E67)</f>
        <v>6200</v>
      </c>
      <c r="F63" s="33">
        <f>D63-E63</f>
        <v>-100</v>
      </c>
      <c r="G63" s="33">
        <f>SUM(G64,G67)</f>
        <v>0</v>
      </c>
      <c r="H63" s="33"/>
    </row>
    <row r="64" spans="1:8" s="1" customFormat="1" ht="20.100000000000001" customHeight="1">
      <c r="A64" s="37"/>
      <c r="B64" s="15" t="s">
        <v>114</v>
      </c>
      <c r="C64" s="16"/>
      <c r="D64" s="36">
        <f>SUM(D65:D65)</f>
        <v>1000</v>
      </c>
      <c r="E64" s="36">
        <f>SUM(E65:E65)</f>
        <v>2000</v>
      </c>
      <c r="F64" s="36">
        <f>D64-E64</f>
        <v>-1000</v>
      </c>
      <c r="G64" s="36">
        <f>SUM(G65:G65)</f>
        <v>0</v>
      </c>
      <c r="H64" s="36"/>
    </row>
    <row r="65" spans="1:8" s="1" customFormat="1" ht="20.100000000000001" customHeight="1">
      <c r="A65" s="37"/>
      <c r="B65" s="38"/>
      <c r="C65" s="53" t="s">
        <v>151</v>
      </c>
      <c r="D65" s="114">
        <f>H66</f>
        <v>1000</v>
      </c>
      <c r="E65" s="114">
        <v>2000</v>
      </c>
      <c r="F65" s="114"/>
      <c r="G65" s="41" t="s">
        <v>145</v>
      </c>
      <c r="H65" s="47"/>
    </row>
    <row r="66" spans="1:8" s="1" customFormat="1" ht="20.100000000000001" customHeight="1">
      <c r="A66" s="37"/>
      <c r="B66" s="38"/>
      <c r="C66" s="43"/>
      <c r="D66" s="47"/>
      <c r="E66" s="47"/>
      <c r="F66" s="47"/>
      <c r="G66" s="59" t="s">
        <v>230</v>
      </c>
      <c r="H66" s="47">
        <f>500*2</f>
        <v>1000</v>
      </c>
    </row>
    <row r="67" spans="1:8" s="1" customFormat="1" ht="20.100000000000001" customHeight="1">
      <c r="A67" s="37"/>
      <c r="B67" s="15" t="s">
        <v>21</v>
      </c>
      <c r="C67" s="16"/>
      <c r="D67" s="36">
        <f>SUM(D68)</f>
        <v>5100</v>
      </c>
      <c r="E67" s="36">
        <f>SUM(E68)</f>
        <v>4200</v>
      </c>
      <c r="F67" s="36">
        <f>D67-E67</f>
        <v>900</v>
      </c>
      <c r="G67" s="36">
        <f>SUM(G68)</f>
        <v>0</v>
      </c>
      <c r="H67" s="36"/>
    </row>
    <row r="68" spans="1:8" s="1" customFormat="1" ht="20.100000000000001" customHeight="1">
      <c r="A68" s="37"/>
      <c r="B68" s="38"/>
      <c r="C68" s="53" t="s">
        <v>152</v>
      </c>
      <c r="D68" s="114">
        <f>H72</f>
        <v>5100</v>
      </c>
      <c r="E68" s="114">
        <v>4200</v>
      </c>
      <c r="F68" s="114">
        <f>D68-E68</f>
        <v>900</v>
      </c>
      <c r="G68" s="41" t="s">
        <v>145</v>
      </c>
      <c r="H68" s="47"/>
    </row>
    <row r="69" spans="1:8" s="1" customFormat="1" ht="20.100000000000001" customHeight="1">
      <c r="A69" s="37"/>
      <c r="B69" s="38"/>
      <c r="C69" s="115"/>
      <c r="D69" s="116"/>
      <c r="E69" s="116"/>
      <c r="F69" s="116"/>
      <c r="G69" s="59" t="s">
        <v>229</v>
      </c>
      <c r="H69" s="47">
        <f>1000</f>
        <v>1000</v>
      </c>
    </row>
    <row r="70" spans="1:8" s="1" customFormat="1" ht="20.100000000000001" customHeight="1">
      <c r="A70" s="37"/>
      <c r="B70" s="38"/>
      <c r="C70" s="115"/>
      <c r="D70" s="116"/>
      <c r="E70" s="116"/>
      <c r="F70" s="116"/>
      <c r="G70" s="59" t="s">
        <v>233</v>
      </c>
      <c r="H70" s="47">
        <f>35*15*4</f>
        <v>2100</v>
      </c>
    </row>
    <row r="71" spans="1:8" s="1" customFormat="1" ht="20.100000000000001" customHeight="1">
      <c r="A71" s="37"/>
      <c r="B71" s="38"/>
      <c r="C71" s="115"/>
      <c r="D71" s="116"/>
      <c r="E71" s="116"/>
      <c r="F71" s="116"/>
      <c r="G71" s="59" t="s">
        <v>165</v>
      </c>
      <c r="H71" s="47">
        <f>2000</f>
        <v>2000</v>
      </c>
    </row>
    <row r="72" spans="1:8" s="1" customFormat="1" ht="20.100000000000001" customHeight="1">
      <c r="A72" s="37"/>
      <c r="B72" s="38"/>
      <c r="C72" s="43"/>
      <c r="D72" s="47"/>
      <c r="E72" s="47"/>
      <c r="F72" s="47"/>
      <c r="G72" s="40" t="s">
        <v>131</v>
      </c>
      <c r="H72" s="113">
        <f>SUM(H69:H71)</f>
        <v>5100</v>
      </c>
    </row>
    <row r="73" spans="1:8" s="1" customFormat="1" ht="20.100000000000001" customHeight="1">
      <c r="A73" s="4" t="s">
        <v>115</v>
      </c>
      <c r="B73" s="5"/>
      <c r="C73" s="6"/>
      <c r="D73" s="33">
        <f>SUM(D74,D77)</f>
        <v>0</v>
      </c>
      <c r="E73" s="33">
        <f>SUM(E74,E77)</f>
        <v>0</v>
      </c>
      <c r="F73" s="33">
        <f>SUM(F74,F77)</f>
        <v>0</v>
      </c>
      <c r="G73" s="33">
        <f>SUM(G74,G77)</f>
        <v>0</v>
      </c>
      <c r="H73" s="33"/>
    </row>
    <row r="74" spans="1:8" s="1" customFormat="1" ht="20.100000000000001" customHeight="1">
      <c r="A74" s="37"/>
      <c r="B74" s="15" t="s">
        <v>22</v>
      </c>
      <c r="C74" s="16"/>
      <c r="D74" s="36">
        <f>SUM(D75:D76)</f>
        <v>0</v>
      </c>
      <c r="E74" s="36">
        <f>SUM(E75:E76)</f>
        <v>0</v>
      </c>
      <c r="F74" s="36">
        <f>SUM(F75:F76)</f>
        <v>0</v>
      </c>
      <c r="G74" s="36">
        <f>SUM(G75:G76)</f>
        <v>0</v>
      </c>
      <c r="H74" s="36"/>
    </row>
    <row r="75" spans="1:8" s="1" customFormat="1" ht="20.100000000000001" customHeight="1">
      <c r="A75" s="37"/>
      <c r="B75" s="38"/>
      <c r="C75" s="53" t="s">
        <v>153</v>
      </c>
      <c r="D75" s="52"/>
      <c r="E75" s="52"/>
      <c r="F75" s="47"/>
      <c r="G75" s="47"/>
      <c r="H75" s="47"/>
    </row>
    <row r="76" spans="1:8" s="1" customFormat="1" ht="20.100000000000001" customHeight="1">
      <c r="A76" s="37"/>
      <c r="B76" s="38"/>
      <c r="C76" s="53" t="s">
        <v>154</v>
      </c>
      <c r="D76" s="52"/>
      <c r="E76" s="52"/>
      <c r="F76" s="47"/>
      <c r="G76" s="47"/>
      <c r="H76" s="47"/>
    </row>
    <row r="77" spans="1:8" s="1" customFormat="1" ht="20.100000000000001" customHeight="1">
      <c r="A77" s="37"/>
      <c r="B77" s="15" t="s">
        <v>116</v>
      </c>
      <c r="C77" s="16"/>
      <c r="D77" s="36">
        <f t="shared" ref="D77" si="3">SUM(D78)</f>
        <v>0</v>
      </c>
      <c r="E77" s="36">
        <f t="shared" ref="E77" si="4">SUM(E78)</f>
        <v>0</v>
      </c>
      <c r="F77" s="36">
        <f t="shared" ref="F77" si="5">SUM(F78)</f>
        <v>0</v>
      </c>
      <c r="G77" s="36">
        <f t="shared" ref="G77" si="6">SUM(G78)</f>
        <v>0</v>
      </c>
      <c r="H77" s="36"/>
    </row>
    <row r="78" spans="1:8" s="1" customFormat="1" ht="20.100000000000001" customHeight="1">
      <c r="A78" s="37"/>
      <c r="B78" s="38"/>
      <c r="C78" s="53" t="s">
        <v>155</v>
      </c>
      <c r="D78" s="52"/>
      <c r="E78" s="52"/>
      <c r="F78" s="47"/>
      <c r="G78" s="47"/>
      <c r="H78" s="47"/>
    </row>
    <row r="79" spans="1:8" s="1" customFormat="1" ht="20.100000000000001" customHeight="1">
      <c r="A79" s="4" t="s">
        <v>117</v>
      </c>
      <c r="B79" s="5"/>
      <c r="C79" s="6"/>
      <c r="D79" s="33">
        <f t="shared" ref="D79:G79" si="7">SUM(D80)</f>
        <v>0</v>
      </c>
      <c r="E79" s="33">
        <f t="shared" si="7"/>
        <v>0</v>
      </c>
      <c r="F79" s="33">
        <f t="shared" si="7"/>
        <v>0</v>
      </c>
      <c r="G79" s="33">
        <f t="shared" si="7"/>
        <v>0</v>
      </c>
      <c r="H79" s="33"/>
    </row>
    <row r="80" spans="1:8" s="1" customFormat="1" ht="20.100000000000001" customHeight="1">
      <c r="A80" s="37"/>
      <c r="B80" s="15" t="s">
        <v>117</v>
      </c>
      <c r="C80" s="16"/>
      <c r="D80" s="36">
        <f>SUM(D81:D81)</f>
        <v>0</v>
      </c>
      <c r="E80" s="36">
        <f>SUM(E81:E81)</f>
        <v>0</v>
      </c>
      <c r="F80" s="36">
        <f>SUM(F81:F81)</f>
        <v>0</v>
      </c>
      <c r="G80" s="36">
        <f>SUM(G81:G81)</f>
        <v>0</v>
      </c>
      <c r="H80" s="36"/>
    </row>
    <row r="81" spans="1:8" s="1" customFormat="1" ht="20.100000000000001" customHeight="1">
      <c r="A81" s="37"/>
      <c r="B81" s="38"/>
      <c r="C81" s="43" t="s">
        <v>156</v>
      </c>
      <c r="D81" s="52"/>
      <c r="E81" s="52"/>
      <c r="F81" s="47"/>
      <c r="G81" s="47"/>
      <c r="H81" s="47"/>
    </row>
    <row r="82" spans="1:8" s="1" customFormat="1" ht="20.100000000000001" customHeight="1">
      <c r="A82" s="4" t="s">
        <v>118</v>
      </c>
      <c r="B82" s="5"/>
      <c r="C82" s="6"/>
      <c r="D82" s="33">
        <f t="shared" ref="D82" si="8">SUM(D83)</f>
        <v>0</v>
      </c>
      <c r="E82" s="33">
        <f t="shared" ref="E82" si="9">SUM(E83)</f>
        <v>0</v>
      </c>
      <c r="F82" s="33">
        <f t="shared" ref="F82" si="10">SUM(F83)</f>
        <v>0</v>
      </c>
      <c r="G82" s="33">
        <f t="shared" ref="G82" si="11">SUM(G83)</f>
        <v>0</v>
      </c>
      <c r="H82" s="33"/>
    </row>
    <row r="83" spans="1:8" s="1" customFormat="1" ht="20.100000000000001" customHeight="1">
      <c r="A83" s="37"/>
      <c r="B83" s="9" t="s">
        <v>118</v>
      </c>
      <c r="C83" s="10"/>
      <c r="D83" s="36">
        <f>SUM(D84:D84)</f>
        <v>0</v>
      </c>
      <c r="E83" s="36">
        <f>SUM(E84:E84)</f>
        <v>0</v>
      </c>
      <c r="F83" s="36">
        <f>SUM(F84:F84)</f>
        <v>0</v>
      </c>
      <c r="G83" s="36">
        <f>SUM(G84:G84)</f>
        <v>0</v>
      </c>
      <c r="H83" s="36"/>
    </row>
    <row r="84" spans="1:8" s="1" customFormat="1" ht="20.100000000000001" customHeight="1">
      <c r="A84" s="37"/>
      <c r="B84" s="38"/>
      <c r="C84" s="43" t="s">
        <v>119</v>
      </c>
      <c r="D84" s="47"/>
      <c r="E84" s="47"/>
      <c r="F84" s="54">
        <f>SUM(D84:E84)</f>
        <v>0</v>
      </c>
      <c r="G84" s="47"/>
      <c r="H84" s="54"/>
    </row>
    <row r="85" spans="1:8" s="1" customFormat="1" ht="20.100000000000001" customHeight="1">
      <c r="A85" s="4" t="s">
        <v>7</v>
      </c>
      <c r="B85" s="5"/>
      <c r="C85" s="6"/>
      <c r="D85" s="33">
        <f>SUM(D86,D89)</f>
        <v>336000</v>
      </c>
      <c r="E85" s="33">
        <f>SUM(E86,E89)</f>
        <v>330000</v>
      </c>
      <c r="F85" s="33">
        <f>SUM(F86,F89)</f>
        <v>6000</v>
      </c>
      <c r="G85" s="33">
        <f>SUM(G86,G89)</f>
        <v>0</v>
      </c>
      <c r="H85" s="33"/>
    </row>
    <row r="86" spans="1:8" s="1" customFormat="1" ht="20.100000000000001" customHeight="1">
      <c r="A86" s="37"/>
      <c r="B86" s="15" t="s">
        <v>7</v>
      </c>
      <c r="C86" s="16"/>
      <c r="D86" s="36">
        <f>SUM(D87:D88)</f>
        <v>300000</v>
      </c>
      <c r="E86" s="36">
        <f>SUM(E87:E88)</f>
        <v>300000</v>
      </c>
      <c r="F86" s="36">
        <f>SUM(F87:F88)</f>
        <v>0</v>
      </c>
      <c r="G86" s="36">
        <f>SUM(G87:G88)</f>
        <v>0</v>
      </c>
      <c r="H86" s="36"/>
    </row>
    <row r="87" spans="1:8" s="1" customFormat="1" ht="20.100000000000001" customHeight="1">
      <c r="A87" s="37"/>
      <c r="B87" s="38"/>
      <c r="C87" s="43" t="s">
        <v>157</v>
      </c>
      <c r="D87" s="52"/>
      <c r="E87" s="52"/>
      <c r="F87" s="47"/>
      <c r="G87" s="47"/>
      <c r="H87" s="47"/>
    </row>
    <row r="88" spans="1:8" s="1" customFormat="1" ht="20.100000000000001" customHeight="1">
      <c r="A88" s="37"/>
      <c r="B88" s="38"/>
      <c r="C88" s="44" t="s">
        <v>158</v>
      </c>
      <c r="D88" s="52">
        <f>H88</f>
        <v>300000</v>
      </c>
      <c r="E88" s="52">
        <v>300000</v>
      </c>
      <c r="F88" s="47">
        <f>D88-E88</f>
        <v>0</v>
      </c>
      <c r="G88" s="59" t="s">
        <v>231</v>
      </c>
      <c r="H88" s="47">
        <f>50000*6</f>
        <v>300000</v>
      </c>
    </row>
    <row r="89" spans="1:8" s="1" customFormat="1" ht="20.100000000000001" customHeight="1">
      <c r="A89" s="37"/>
      <c r="B89" s="15" t="s">
        <v>23</v>
      </c>
      <c r="C89" s="16"/>
      <c r="D89" s="36">
        <f>SUM(D90)</f>
        <v>36000</v>
      </c>
      <c r="E89" s="36">
        <f>SUM(E90)</f>
        <v>30000</v>
      </c>
      <c r="F89" s="36">
        <f>SUM(F90)</f>
        <v>6000</v>
      </c>
      <c r="G89" s="36">
        <f>SUM(G90)</f>
        <v>0</v>
      </c>
      <c r="H89" s="36"/>
    </row>
    <row r="90" spans="1:8" s="1" customFormat="1" ht="20.100000000000001" customHeight="1">
      <c r="A90" s="37"/>
      <c r="B90" s="38"/>
      <c r="C90" s="53" t="s">
        <v>159</v>
      </c>
      <c r="D90" s="52">
        <v>36000</v>
      </c>
      <c r="E90" s="52">
        <v>30000</v>
      </c>
      <c r="F90" s="47">
        <f>D90-E90</f>
        <v>6000</v>
      </c>
      <c r="G90" s="59" t="s">
        <v>232</v>
      </c>
      <c r="H90" s="47">
        <f>6000*6</f>
        <v>36000</v>
      </c>
    </row>
    <row r="91" spans="1:8" s="1" customFormat="1" ht="20.100000000000001" customHeight="1">
      <c r="A91" s="4" t="s">
        <v>24</v>
      </c>
      <c r="B91" s="5"/>
      <c r="C91" s="6"/>
      <c r="D91" s="33">
        <f t="shared" ref="D91" si="12">SUM(D92,D94,D96)</f>
        <v>0</v>
      </c>
      <c r="E91" s="33">
        <f t="shared" ref="E91" si="13">SUM(E92,E94,E96)</f>
        <v>0</v>
      </c>
      <c r="F91" s="33">
        <f t="shared" ref="F91" si="14">SUM(F92,F94,F96)</f>
        <v>0</v>
      </c>
      <c r="G91" s="33">
        <f t="shared" ref="G91" si="15">SUM(G92,G94,G96)</f>
        <v>0</v>
      </c>
      <c r="H91" s="33"/>
    </row>
    <row r="92" spans="1:8" s="1" customFormat="1" ht="20.100000000000001" customHeight="1">
      <c r="A92" s="37"/>
      <c r="B92" s="15" t="s">
        <v>25</v>
      </c>
      <c r="C92" s="16"/>
      <c r="D92" s="36">
        <f>SUM(D93)</f>
        <v>0</v>
      </c>
      <c r="E92" s="36">
        <f>SUM(E93)</f>
        <v>0</v>
      </c>
      <c r="F92" s="36">
        <f>SUM(F93)</f>
        <v>0</v>
      </c>
      <c r="G92" s="36">
        <f>SUM(G93)</f>
        <v>0</v>
      </c>
      <c r="H92" s="36"/>
    </row>
    <row r="93" spans="1:8" s="1" customFormat="1" ht="20.100000000000001" customHeight="1">
      <c r="A93" s="37"/>
      <c r="B93" s="38"/>
      <c r="C93" s="43" t="s">
        <v>160</v>
      </c>
      <c r="D93" s="52"/>
      <c r="E93" s="52"/>
      <c r="F93" s="47"/>
      <c r="G93" s="47"/>
      <c r="H93" s="47"/>
    </row>
    <row r="94" spans="1:8" s="1" customFormat="1" ht="20.100000000000001" customHeight="1">
      <c r="A94" s="37"/>
      <c r="B94" s="15" t="s">
        <v>28</v>
      </c>
      <c r="C94" s="16"/>
      <c r="D94" s="36">
        <f>SUM(D95)</f>
        <v>0</v>
      </c>
      <c r="E94" s="36">
        <f>SUM(E95)</f>
        <v>0</v>
      </c>
      <c r="F94" s="36">
        <f>SUM(F95)</f>
        <v>0</v>
      </c>
      <c r="G94" s="36">
        <f>SUM(G95)</f>
        <v>0</v>
      </c>
      <c r="H94" s="36"/>
    </row>
    <row r="95" spans="1:8" s="1" customFormat="1" ht="20.100000000000001" customHeight="1">
      <c r="A95" s="37"/>
      <c r="B95" s="38"/>
      <c r="C95" s="44" t="s">
        <v>161</v>
      </c>
      <c r="D95" s="52"/>
      <c r="E95" s="52"/>
      <c r="F95" s="47"/>
      <c r="G95" s="47"/>
      <c r="H95" s="47"/>
    </row>
    <row r="96" spans="1:8" s="1" customFormat="1" ht="20.100000000000001" customHeight="1">
      <c r="A96" s="37"/>
      <c r="B96" s="15" t="s">
        <v>27</v>
      </c>
      <c r="C96" s="16"/>
      <c r="D96" s="36">
        <f>SUM(D97)</f>
        <v>0</v>
      </c>
      <c r="E96" s="36">
        <f>SUM(E97)</f>
        <v>0</v>
      </c>
      <c r="F96" s="36">
        <f>SUM(F97)</f>
        <v>0</v>
      </c>
      <c r="G96" s="36">
        <f>SUM(G97)</f>
        <v>0</v>
      </c>
      <c r="H96" s="36"/>
    </row>
    <row r="97" spans="1:8" s="1" customFormat="1" ht="20.100000000000001" customHeight="1">
      <c r="A97" s="37"/>
      <c r="B97" s="38"/>
      <c r="C97" s="44" t="s">
        <v>162</v>
      </c>
      <c r="D97" s="52"/>
      <c r="E97" s="52"/>
      <c r="F97" s="47"/>
      <c r="G97" s="47"/>
      <c r="H97" s="47"/>
    </row>
    <row r="98" spans="1:8" s="1" customFormat="1" ht="20.100000000000001" customHeight="1">
      <c r="A98" s="4" t="s">
        <v>13</v>
      </c>
      <c r="B98" s="5"/>
      <c r="C98" s="6"/>
      <c r="D98" s="33">
        <f>SUM(D99)</f>
        <v>0</v>
      </c>
      <c r="E98" s="33">
        <f>SUM(E99)</f>
        <v>0</v>
      </c>
      <c r="F98" s="33">
        <f>SUM(F99)</f>
        <v>0</v>
      </c>
      <c r="G98" s="33">
        <f>SUM(G99)</f>
        <v>0</v>
      </c>
      <c r="H98" s="33"/>
    </row>
    <row r="99" spans="1:8" s="1" customFormat="1" ht="20.100000000000001" customHeight="1">
      <c r="A99" s="37"/>
      <c r="B99" s="15" t="s">
        <v>26</v>
      </c>
      <c r="C99" s="16"/>
      <c r="D99" s="36">
        <f>SUM(D100:D101)</f>
        <v>0</v>
      </c>
      <c r="E99" s="36">
        <f>SUM(E100:E101)</f>
        <v>0</v>
      </c>
      <c r="F99" s="36">
        <f>SUM(F100:F101)</f>
        <v>0</v>
      </c>
      <c r="G99" s="36">
        <f>SUM(G100:G101)</f>
        <v>0</v>
      </c>
      <c r="H99" s="36"/>
    </row>
    <row r="100" spans="1:8" s="1" customFormat="1" ht="20.100000000000001" customHeight="1">
      <c r="A100" s="37"/>
      <c r="B100" s="38"/>
      <c r="C100" s="53" t="s">
        <v>163</v>
      </c>
      <c r="D100" s="47"/>
      <c r="E100" s="47"/>
      <c r="F100" s="47"/>
      <c r="G100" s="47"/>
      <c r="H100" s="47"/>
    </row>
    <row r="101" spans="1:8" s="1" customFormat="1" ht="20.100000000000001" customHeight="1">
      <c r="A101" s="37"/>
      <c r="B101" s="38"/>
      <c r="C101" s="53" t="s">
        <v>164</v>
      </c>
      <c r="D101" s="47"/>
      <c r="E101" s="47"/>
      <c r="F101" s="47"/>
      <c r="G101" s="47"/>
      <c r="H101" s="47"/>
    </row>
    <row r="102" spans="1:8" s="1" customFormat="1" ht="20.100000000000001" customHeight="1">
      <c r="A102" s="19" t="s">
        <v>17</v>
      </c>
      <c r="B102" s="20"/>
      <c r="C102" s="21"/>
      <c r="D102" s="35">
        <f>SUM(D5,D43,D63,D73,D79,D82,D85,D91,D98)</f>
        <v>909590</v>
      </c>
      <c r="E102" s="35">
        <f>SUM(E5,E43,E63,E73,E79,E82,E85,E91,E98)</f>
        <v>885048</v>
      </c>
      <c r="F102" s="35">
        <f>SUM(F5,F43,F63,F73,F79,F82,F85,F91,F98)</f>
        <v>24542</v>
      </c>
      <c r="G102" s="35">
        <f>SUM(G5,G43,G63,G73,G79,G82,G85,G91,G98)</f>
        <v>0</v>
      </c>
      <c r="H102" s="35"/>
    </row>
    <row r="103" spans="1:8" s="1" customFormat="1" ht="20.100000000000001" customHeight="1">
      <c r="A103" s="19" t="s">
        <v>29</v>
      </c>
      <c r="B103" s="20"/>
      <c r="C103" s="21"/>
      <c r="D103" s="35" t="b">
        <f>'(법인회계) 세입 예산서'!D54=D102</f>
        <v>1</v>
      </c>
      <c r="E103" s="35" t="b">
        <f>'(법인회계) 세입 예산서'!E54=E102</f>
        <v>1</v>
      </c>
      <c r="F103" s="35" t="b">
        <f>'(법인회계) 세입 예산서'!F54=F102</f>
        <v>1</v>
      </c>
      <c r="G103" s="35"/>
      <c r="H103" s="35"/>
    </row>
    <row r="104" spans="1:8" s="1" customFormat="1" ht="20.100000000000001" customHeight="1">
      <c r="A104" s="25"/>
      <c r="B104" s="25"/>
      <c r="C104" s="55"/>
      <c r="D104" s="56">
        <f>'(법인회계) 세입 예산서'!D54-'(법인회계) 세출 예산서'!D102</f>
        <v>0</v>
      </c>
      <c r="E104" s="56"/>
      <c r="F104" s="56"/>
      <c r="G104" s="56"/>
      <c r="H104" s="56"/>
    </row>
    <row r="105" spans="1:8">
      <c r="C105" s="57"/>
      <c r="D105" s="58"/>
      <c r="E105" s="58"/>
      <c r="F105" s="58"/>
      <c r="G105" s="58"/>
      <c r="H105" s="58"/>
    </row>
    <row r="106" spans="1:8">
      <c r="C106" s="57"/>
      <c r="D106" s="58"/>
      <c r="E106" s="58"/>
      <c r="F106" s="58"/>
      <c r="G106" s="58"/>
      <c r="H106" s="58"/>
    </row>
    <row r="107" spans="1:8">
      <c r="C107" s="57"/>
      <c r="D107" s="58"/>
      <c r="E107" s="58"/>
      <c r="F107" s="58"/>
      <c r="G107" s="58"/>
      <c r="H107" s="58"/>
    </row>
    <row r="108" spans="1:8">
      <c r="C108" s="57"/>
      <c r="D108" s="58"/>
      <c r="E108" s="58"/>
      <c r="F108" s="58"/>
      <c r="G108" s="58"/>
      <c r="H108" s="58"/>
    </row>
    <row r="109" spans="1:8">
      <c r="C109" s="57"/>
      <c r="D109" s="58"/>
      <c r="E109" s="58"/>
      <c r="F109" s="58"/>
      <c r="G109" s="58"/>
      <c r="H109" s="58"/>
    </row>
    <row r="110" spans="1:8">
      <c r="C110" s="57"/>
      <c r="D110" s="58"/>
      <c r="E110" s="58"/>
      <c r="F110" s="58"/>
      <c r="G110" s="58"/>
      <c r="H110" s="58"/>
    </row>
    <row r="111" spans="1:8">
      <c r="C111" s="57"/>
      <c r="D111" s="58"/>
      <c r="E111" s="58"/>
      <c r="F111" s="58"/>
      <c r="G111" s="58"/>
      <c r="H111" s="58"/>
    </row>
    <row r="112" spans="1:8">
      <c r="C112" s="57"/>
      <c r="D112" s="58"/>
      <c r="E112" s="58"/>
      <c r="F112" s="58"/>
      <c r="G112" s="58"/>
      <c r="H112" s="58"/>
    </row>
    <row r="113" spans="3:8">
      <c r="C113" s="57"/>
      <c r="D113" s="58"/>
      <c r="E113" s="58"/>
      <c r="F113" s="58"/>
      <c r="G113" s="58"/>
      <c r="H113" s="58"/>
    </row>
    <row r="114" spans="3:8">
      <c r="C114" s="57"/>
      <c r="D114" s="58"/>
      <c r="E114" s="58"/>
      <c r="F114" s="58"/>
      <c r="G114" s="58"/>
      <c r="H114" s="58"/>
    </row>
    <row r="115" spans="3:8">
      <c r="C115" s="57"/>
      <c r="D115" s="58"/>
      <c r="E115" s="58"/>
      <c r="F115" s="58"/>
      <c r="G115" s="58"/>
      <c r="H115" s="58"/>
    </row>
    <row r="116" spans="3:8">
      <c r="C116" s="57"/>
      <c r="D116" s="58"/>
      <c r="E116" s="58"/>
      <c r="F116" s="58"/>
      <c r="G116" s="58"/>
      <c r="H116" s="58"/>
    </row>
    <row r="117" spans="3:8">
      <c r="C117" s="57"/>
      <c r="D117" s="58"/>
      <c r="E117" s="58"/>
      <c r="F117" s="58"/>
      <c r="G117" s="58"/>
      <c r="H117" s="58"/>
    </row>
    <row r="118" spans="3:8">
      <c r="C118" s="57"/>
      <c r="D118" s="58"/>
      <c r="E118" s="58"/>
      <c r="F118" s="58"/>
      <c r="G118" s="58"/>
      <c r="H118" s="58"/>
    </row>
    <row r="119" spans="3:8">
      <c r="D119" s="42"/>
      <c r="E119" s="42"/>
      <c r="F119" s="42"/>
      <c r="G119" s="42"/>
      <c r="H119" s="42"/>
    </row>
    <row r="120" spans="3:8">
      <c r="D120" s="42"/>
      <c r="E120" s="42"/>
      <c r="F120" s="42"/>
      <c r="G120" s="42"/>
      <c r="H120" s="42"/>
    </row>
    <row r="121" spans="3:8">
      <c r="D121" s="42"/>
      <c r="E121" s="42"/>
      <c r="F121" s="42"/>
      <c r="G121" s="42"/>
      <c r="H121" s="42"/>
    </row>
    <row r="122" spans="3:8">
      <c r="D122" s="42"/>
      <c r="E122" s="42"/>
      <c r="F122" s="42"/>
      <c r="G122" s="42"/>
      <c r="H122" s="42"/>
    </row>
    <row r="123" spans="3:8">
      <c r="D123" s="42"/>
      <c r="E123" s="42"/>
      <c r="F123" s="42"/>
      <c r="G123" s="42"/>
      <c r="H123" s="42"/>
    </row>
    <row r="124" spans="3:8">
      <c r="D124" s="42"/>
      <c r="E124" s="42"/>
      <c r="F124" s="42"/>
      <c r="G124" s="42"/>
      <c r="H124" s="42"/>
    </row>
    <row r="125" spans="3:8">
      <c r="D125" s="42"/>
      <c r="E125" s="42"/>
      <c r="F125" s="42"/>
      <c r="G125" s="42"/>
      <c r="H125" s="42"/>
    </row>
    <row r="126" spans="3:8">
      <c r="D126" s="42"/>
      <c r="E126" s="42"/>
      <c r="F126" s="42"/>
      <c r="G126" s="42"/>
      <c r="H126" s="42"/>
    </row>
    <row r="127" spans="3:8">
      <c r="D127" s="42"/>
      <c r="E127" s="42"/>
      <c r="F127" s="42"/>
      <c r="G127" s="42"/>
      <c r="H127" s="42"/>
    </row>
    <row r="128" spans="3:8">
      <c r="D128" s="42"/>
      <c r="E128" s="42"/>
      <c r="F128" s="42"/>
      <c r="G128" s="42"/>
      <c r="H128" s="42"/>
    </row>
    <row r="129" spans="4:8">
      <c r="D129" s="42"/>
      <c r="E129" s="42"/>
      <c r="F129" s="42"/>
      <c r="G129" s="42"/>
      <c r="H129" s="42"/>
    </row>
    <row r="130" spans="4:8">
      <c r="D130" s="42"/>
      <c r="E130" s="42"/>
      <c r="F130" s="42"/>
      <c r="G130" s="42"/>
      <c r="H130" s="42"/>
    </row>
    <row r="131" spans="4:8">
      <c r="D131" s="42"/>
      <c r="E131" s="42"/>
      <c r="F131" s="42"/>
      <c r="G131" s="42"/>
      <c r="H131" s="42"/>
    </row>
    <row r="132" spans="4:8">
      <c r="D132" s="42"/>
      <c r="E132" s="42"/>
      <c r="F132" s="42"/>
      <c r="G132" s="42"/>
      <c r="H132" s="42"/>
    </row>
    <row r="133" spans="4:8">
      <c r="D133" s="42"/>
      <c r="E133" s="42"/>
      <c r="F133" s="42"/>
      <c r="G133" s="42"/>
      <c r="H133" s="42"/>
    </row>
    <row r="134" spans="4:8">
      <c r="D134" s="42"/>
      <c r="E134" s="42"/>
      <c r="F134" s="42"/>
      <c r="G134" s="42"/>
      <c r="H134" s="42"/>
    </row>
    <row r="135" spans="4:8">
      <c r="D135" s="42"/>
      <c r="E135" s="42"/>
      <c r="F135" s="42"/>
      <c r="G135" s="42"/>
      <c r="H135" s="42"/>
    </row>
    <row r="136" spans="4:8">
      <c r="D136" s="42"/>
      <c r="E136" s="42"/>
      <c r="F136" s="42"/>
      <c r="G136" s="42"/>
      <c r="H136" s="42"/>
    </row>
    <row r="137" spans="4:8">
      <c r="D137" s="42"/>
      <c r="E137" s="42"/>
      <c r="F137" s="42"/>
      <c r="G137" s="42"/>
      <c r="H137" s="42"/>
    </row>
    <row r="138" spans="4:8">
      <c r="D138" s="42"/>
      <c r="E138" s="42"/>
      <c r="F138" s="42"/>
      <c r="G138" s="42"/>
      <c r="H138" s="42"/>
    </row>
    <row r="139" spans="4:8">
      <c r="D139" s="42"/>
      <c r="E139" s="42"/>
      <c r="F139" s="42"/>
      <c r="G139" s="42"/>
      <c r="H139" s="42"/>
    </row>
    <row r="140" spans="4:8">
      <c r="D140" s="42"/>
      <c r="E140" s="42"/>
      <c r="F140" s="42"/>
      <c r="G140" s="42"/>
      <c r="H140" s="42"/>
    </row>
    <row r="141" spans="4:8">
      <c r="D141" s="42"/>
      <c r="E141" s="42"/>
      <c r="F141" s="42"/>
      <c r="G141" s="42"/>
      <c r="H141" s="42"/>
    </row>
    <row r="142" spans="4:8">
      <c r="D142" s="42"/>
      <c r="E142" s="42"/>
      <c r="F142" s="42"/>
      <c r="G142" s="42"/>
      <c r="H142" s="42"/>
    </row>
    <row r="143" spans="4:8">
      <c r="D143" s="42"/>
      <c r="E143" s="42"/>
      <c r="F143" s="42"/>
      <c r="G143" s="42"/>
      <c r="H143" s="42"/>
    </row>
    <row r="144" spans="4:8">
      <c r="D144" s="42"/>
      <c r="E144" s="42"/>
      <c r="F144" s="42"/>
      <c r="G144" s="42"/>
      <c r="H144" s="42"/>
    </row>
    <row r="145" spans="4:8">
      <c r="D145" s="42"/>
      <c r="E145" s="42"/>
      <c r="F145" s="42"/>
      <c r="G145" s="42"/>
      <c r="H145" s="42"/>
    </row>
    <row r="146" spans="4:8">
      <c r="D146" s="42"/>
      <c r="E146" s="42"/>
      <c r="F146" s="42"/>
      <c r="G146" s="42"/>
      <c r="H146" s="42"/>
    </row>
    <row r="147" spans="4:8">
      <c r="D147" s="42"/>
      <c r="E147" s="42"/>
      <c r="F147" s="42"/>
      <c r="G147" s="42"/>
      <c r="H147" s="42"/>
    </row>
    <row r="148" spans="4:8">
      <c r="D148" s="42"/>
      <c r="E148" s="42"/>
      <c r="F148" s="42"/>
      <c r="G148" s="42"/>
      <c r="H148" s="42"/>
    </row>
    <row r="149" spans="4:8">
      <c r="D149" s="42"/>
      <c r="E149" s="42"/>
      <c r="F149" s="42"/>
      <c r="G149" s="42"/>
      <c r="H149" s="42"/>
    </row>
    <row r="150" spans="4:8">
      <c r="D150" s="42"/>
      <c r="E150" s="42"/>
      <c r="F150" s="42"/>
      <c r="G150" s="42"/>
      <c r="H150" s="42"/>
    </row>
    <row r="151" spans="4:8">
      <c r="D151" s="42"/>
      <c r="E151" s="42"/>
      <c r="F151" s="42"/>
      <c r="G151" s="42"/>
      <c r="H151" s="42"/>
    </row>
    <row r="152" spans="4:8">
      <c r="D152" s="42"/>
      <c r="E152" s="42"/>
      <c r="F152" s="42"/>
      <c r="G152" s="42"/>
      <c r="H152" s="42"/>
    </row>
    <row r="153" spans="4:8">
      <c r="D153" s="42"/>
      <c r="E153" s="42"/>
      <c r="F153" s="42"/>
      <c r="G153" s="42"/>
      <c r="H153" s="42"/>
    </row>
    <row r="154" spans="4:8">
      <c r="D154" s="42"/>
      <c r="E154" s="42"/>
      <c r="F154" s="42"/>
      <c r="G154" s="42"/>
      <c r="H154" s="42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&amp;C&amp;A&amp;R&amp;P페이지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목록</vt:lpstr>
      <vt:lpstr>표지</vt:lpstr>
      <vt:lpstr>총칙</vt:lpstr>
      <vt:lpstr>총괄표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총괄표!Print_Area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skisndt10</cp:lastModifiedBy>
  <cp:lastPrinted>2018-09-25T03:32:49Z</cp:lastPrinted>
  <dcterms:created xsi:type="dcterms:W3CDTF">2018-03-19T04:02:54Z</dcterms:created>
  <dcterms:modified xsi:type="dcterms:W3CDTF">2019-01-26T01:13:20Z</dcterms:modified>
</cp:coreProperties>
</file>