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재정팀장\8. Budget(예산)\2021학년도\학교회계\"/>
    </mc:Choice>
  </mc:AlternateContent>
  <bookViews>
    <workbookView xWindow="0" yWindow="0" windowWidth="28800" windowHeight="12420" firstSheet="1" activeTab="1"/>
  </bookViews>
  <sheets>
    <sheet name="표지" sheetId="11" r:id="rId1"/>
    <sheet name="(학교회계)2021 세입예산서" sheetId="8" r:id="rId2"/>
    <sheet name="(학교회계)2021 세출예산서" sheetId="9" r:id="rId3"/>
  </sheets>
  <definedNames>
    <definedName name="_xlnm._FilterDatabase" localSheetId="2" hidden="1">'(학교회계)2021 세출예산서'!$I$1:$I$411</definedName>
    <definedName name="_xlnm.Print_Area" localSheetId="2">'(학교회계)2021 세출예산서'!$A$1:$H$411</definedName>
    <definedName name="_xlnm.Print_Titles" localSheetId="1">'(학교회계)2021 세입예산서'!$1:$4</definedName>
  </definedNames>
  <calcPr calcId="152511"/>
</workbook>
</file>

<file path=xl/calcChain.xml><?xml version="1.0" encoding="utf-8"?>
<calcChain xmlns="http://schemas.openxmlformats.org/spreadsheetml/2006/main">
  <c r="E311" i="9" l="1"/>
  <c r="E373" i="9"/>
  <c r="E333" i="9"/>
  <c r="E334" i="9"/>
  <c r="E386" i="9"/>
  <c r="E61" i="8"/>
  <c r="E73" i="8"/>
  <c r="E70" i="8"/>
  <c r="D79" i="8"/>
  <c r="E79" i="8"/>
  <c r="E82" i="8"/>
  <c r="D20" i="8"/>
  <c r="D30" i="8"/>
  <c r="D398" i="9" l="1"/>
  <c r="E282" i="9"/>
  <c r="D60" i="8"/>
  <c r="D84" i="8"/>
  <c r="F84" i="8" s="1"/>
  <c r="H296" i="9" l="1"/>
  <c r="H291" i="9"/>
  <c r="H107" i="9"/>
  <c r="H194" i="9"/>
  <c r="H66" i="9" l="1"/>
  <c r="H105" i="9"/>
  <c r="H390" i="9"/>
  <c r="H15" i="8"/>
  <c r="H14" i="8"/>
  <c r="H13" i="8"/>
  <c r="H12" i="8"/>
  <c r="H367" i="9" l="1"/>
  <c r="H276" i="9"/>
  <c r="H306" i="9"/>
  <c r="H195" i="9"/>
  <c r="H190" i="9"/>
  <c r="H271" i="9"/>
  <c r="H213" i="9"/>
  <c r="H329" i="9"/>
  <c r="H273" i="9"/>
  <c r="H184" i="9"/>
  <c r="H318" i="9"/>
  <c r="H316" i="9"/>
  <c r="H157" i="9"/>
  <c r="H274" i="9"/>
  <c r="H158" i="9"/>
  <c r="H156" i="9"/>
  <c r="H224" i="9"/>
  <c r="H322" i="9"/>
  <c r="H222" i="9"/>
  <c r="H177" i="9"/>
  <c r="H180" i="9"/>
  <c r="H268" i="9" l="1"/>
  <c r="H230" i="9"/>
  <c r="H178" i="9"/>
  <c r="H234" i="9"/>
  <c r="H176" i="9"/>
  <c r="H232" i="9"/>
  <c r="H269" i="9"/>
  <c r="H266" i="9"/>
  <c r="H265" i="9"/>
  <c r="H181" i="9"/>
  <c r="H179" i="9"/>
  <c r="H229" i="9"/>
  <c r="H228" i="9"/>
  <c r="H287" i="9"/>
  <c r="H357" i="9"/>
  <c r="H32" i="8"/>
  <c r="H286" i="9"/>
  <c r="H47" i="9"/>
  <c r="H227" i="9" l="1"/>
  <c r="H226" i="9"/>
  <c r="H225" i="9"/>
  <c r="H255" i="9"/>
  <c r="H175" i="9"/>
  <c r="H182" i="9"/>
  <c r="H264" i="9"/>
  <c r="H152" i="9"/>
  <c r="H217" i="9"/>
  <c r="H218" i="9"/>
  <c r="H172" i="9"/>
  <c r="H170" i="9"/>
  <c r="H167" i="9"/>
  <c r="H252" i="9"/>
  <c r="H168" i="9"/>
  <c r="H166" i="9"/>
  <c r="H164" i="9"/>
  <c r="H163" i="9"/>
  <c r="H314" i="9"/>
  <c r="H220" i="9"/>
  <c r="H171" i="9"/>
  <c r="H165" i="9"/>
  <c r="H147" i="9"/>
  <c r="H146" i="9"/>
  <c r="H219" i="9"/>
  <c r="H365" i="9"/>
  <c r="H363" i="9"/>
  <c r="H356" i="9"/>
  <c r="H354" i="9"/>
  <c r="H40" i="8"/>
  <c r="H41" i="8"/>
  <c r="H38" i="8"/>
  <c r="H37" i="8"/>
  <c r="H36" i="8"/>
  <c r="H34" i="8"/>
  <c r="H33" i="8"/>
  <c r="H31" i="8"/>
  <c r="H30" i="8"/>
  <c r="H24" i="8"/>
  <c r="H26" i="8"/>
  <c r="H27" i="8"/>
  <c r="H28" i="8"/>
  <c r="H23" i="8"/>
  <c r="H22" i="8"/>
  <c r="H21" i="8"/>
  <c r="H35" i="8" l="1"/>
  <c r="H368" i="9"/>
  <c r="H25" i="8"/>
  <c r="H20" i="8"/>
  <c r="H348" i="9"/>
  <c r="H347" i="9"/>
  <c r="H343" i="9"/>
  <c r="H342" i="9"/>
  <c r="H340" i="9"/>
  <c r="H339" i="9"/>
  <c r="H338" i="9"/>
  <c r="H336" i="9"/>
  <c r="H116" i="9" l="1"/>
  <c r="H54" i="9"/>
  <c r="H55" i="9" s="1"/>
  <c r="H134" i="9"/>
  <c r="H101" i="9"/>
  <c r="D83" i="8" l="1"/>
  <c r="H108" i="9" l="1"/>
  <c r="H104" i="9" l="1"/>
  <c r="H103" i="9"/>
  <c r="H117" i="9" l="1"/>
  <c r="H118" i="9" s="1"/>
  <c r="H102" i="9"/>
  <c r="H9" i="8"/>
  <c r="H381" i="9"/>
  <c r="H377" i="9"/>
  <c r="H279" i="9"/>
  <c r="H132" i="9"/>
  <c r="H126" i="9" l="1"/>
  <c r="H123" i="9"/>
  <c r="H331" i="9"/>
  <c r="H332" i="9" s="1"/>
  <c r="H106" i="9"/>
  <c r="H109" i="9" s="1"/>
  <c r="H77" i="9"/>
  <c r="H86" i="9"/>
  <c r="H85" i="9"/>
  <c r="H87" i="9" l="1"/>
  <c r="H7" i="8"/>
  <c r="H24" i="9" l="1"/>
  <c r="H41" i="9"/>
  <c r="D89" i="8" l="1"/>
  <c r="D408" i="9" l="1"/>
  <c r="D407" i="9" s="1"/>
  <c r="D405" i="9"/>
  <c r="D403" i="9"/>
  <c r="F402" i="9"/>
  <c r="E401" i="9"/>
  <c r="E398" i="9" s="1"/>
  <c r="D401" i="9"/>
  <c r="F400" i="9"/>
  <c r="E399" i="9"/>
  <c r="D399" i="9"/>
  <c r="D396" i="9"/>
  <c r="D395" i="9" s="1"/>
  <c r="E395" i="9"/>
  <c r="D394" i="9"/>
  <c r="F394" i="9" s="1"/>
  <c r="E392" i="9"/>
  <c r="H371" i="9"/>
  <c r="H370" i="9"/>
  <c r="H372" i="9" s="1"/>
  <c r="D362" i="9"/>
  <c r="F362" i="9" s="1"/>
  <c r="H360" i="9"/>
  <c r="H359" i="9"/>
  <c r="H351" i="9"/>
  <c r="H350" i="9"/>
  <c r="H346" i="9"/>
  <c r="H341" i="9"/>
  <c r="H337" i="9"/>
  <c r="D388" i="9"/>
  <c r="F388" i="9" s="1"/>
  <c r="H384" i="9"/>
  <c r="H385" i="9" s="1"/>
  <c r="H380" i="9"/>
  <c r="H379" i="9"/>
  <c r="H378" i="9"/>
  <c r="E374" i="9"/>
  <c r="H325" i="9"/>
  <c r="H324" i="9"/>
  <c r="H321" i="9"/>
  <c r="H320" i="9"/>
  <c r="H304" i="9"/>
  <c r="H310" i="9" s="1"/>
  <c r="H300" i="9"/>
  <c r="H299" i="9"/>
  <c r="H290" i="9"/>
  <c r="H289" i="9"/>
  <c r="H285" i="9"/>
  <c r="H275" i="9"/>
  <c r="H272" i="9"/>
  <c r="H267" i="9"/>
  <c r="H263" i="9"/>
  <c r="H258" i="9"/>
  <c r="H257" i="9"/>
  <c r="H254" i="9"/>
  <c r="H245" i="9"/>
  <c r="H244" i="9"/>
  <c r="H243" i="9"/>
  <c r="H242" i="9"/>
  <c r="H239" i="9"/>
  <c r="H238" i="9"/>
  <c r="H237" i="9"/>
  <c r="H236" i="9"/>
  <c r="H223" i="9"/>
  <c r="H212" i="9"/>
  <c r="H211" i="9"/>
  <c r="H210" i="9"/>
  <c r="H208" i="9"/>
  <c r="H207" i="9"/>
  <c r="H205" i="9"/>
  <c r="H201" i="9"/>
  <c r="H200" i="9"/>
  <c r="H199" i="9"/>
  <c r="H198" i="9"/>
  <c r="H196" i="9"/>
  <c r="H192" i="9"/>
  <c r="H189" i="9"/>
  <c r="H188" i="9"/>
  <c r="H187" i="9"/>
  <c r="H186" i="9"/>
  <c r="H185" i="9"/>
  <c r="H174" i="9"/>
  <c r="H159" i="9"/>
  <c r="H155" i="9"/>
  <c r="H154" i="9"/>
  <c r="H150" i="9"/>
  <c r="H149" i="9"/>
  <c r="E143" i="9"/>
  <c r="H141" i="9"/>
  <c r="H139" i="9"/>
  <c r="H136" i="9"/>
  <c r="H135" i="9"/>
  <c r="H133" i="9"/>
  <c r="H131" i="9"/>
  <c r="H130" i="9"/>
  <c r="H127" i="9"/>
  <c r="H125" i="9"/>
  <c r="H124" i="9"/>
  <c r="H122" i="9"/>
  <c r="H121" i="9"/>
  <c r="H120" i="9"/>
  <c r="D100" i="9"/>
  <c r="H111" i="9"/>
  <c r="H95" i="9"/>
  <c r="H94" i="9"/>
  <c r="H93" i="9"/>
  <c r="H92" i="9"/>
  <c r="H91" i="9"/>
  <c r="H90" i="9"/>
  <c r="H89" i="9"/>
  <c r="H98" i="9"/>
  <c r="D84" i="9"/>
  <c r="F84" i="9" s="1"/>
  <c r="H81" i="9"/>
  <c r="H80" i="9"/>
  <c r="H79" i="9"/>
  <c r="H78" i="9"/>
  <c r="H76" i="9"/>
  <c r="H75" i="9"/>
  <c r="H72" i="9"/>
  <c r="H71" i="9"/>
  <c r="H70" i="9"/>
  <c r="H69" i="9"/>
  <c r="H65" i="9"/>
  <c r="H64" i="9"/>
  <c r="H63" i="9"/>
  <c r="H62" i="9"/>
  <c r="H112" i="9"/>
  <c r="H61" i="9"/>
  <c r="E59" i="9"/>
  <c r="D56" i="9"/>
  <c r="H51" i="9"/>
  <c r="H50" i="9"/>
  <c r="H48" i="9"/>
  <c r="H46" i="9"/>
  <c r="H42" i="9"/>
  <c r="H40" i="9"/>
  <c r="H39" i="9"/>
  <c r="H38" i="9"/>
  <c r="H37" i="9"/>
  <c r="H36" i="9"/>
  <c r="H35" i="9"/>
  <c r="H34" i="9"/>
  <c r="H33" i="9"/>
  <c r="H32" i="9"/>
  <c r="H31" i="9"/>
  <c r="H30" i="9"/>
  <c r="H29" i="9"/>
  <c r="E27" i="9"/>
  <c r="H25" i="9"/>
  <c r="H23" i="9"/>
  <c r="H22" i="9"/>
  <c r="H21" i="9"/>
  <c r="H20" i="9"/>
  <c r="H19" i="9"/>
  <c r="H18" i="9"/>
  <c r="H17" i="9"/>
  <c r="H16" i="9"/>
  <c r="H15" i="9"/>
  <c r="H14" i="9"/>
  <c r="H13" i="9"/>
  <c r="H12" i="9"/>
  <c r="H11" i="9"/>
  <c r="H10" i="9"/>
  <c r="H9" i="9"/>
  <c r="H8" i="9"/>
  <c r="E6" i="9"/>
  <c r="D87" i="8"/>
  <c r="D86" i="8" s="1"/>
  <c r="E87" i="8"/>
  <c r="E86" i="8" s="1"/>
  <c r="D82" i="8"/>
  <c r="F82" i="8" s="1"/>
  <c r="D80" i="8"/>
  <c r="F80" i="8" s="1"/>
  <c r="D76" i="8"/>
  <c r="D75" i="8" s="1"/>
  <c r="D73" i="8"/>
  <c r="F73" i="8" s="1"/>
  <c r="D71" i="8"/>
  <c r="D69" i="8"/>
  <c r="D68" i="8" s="1"/>
  <c r="E68" i="8"/>
  <c r="E66" i="8"/>
  <c r="E60" i="8" s="1"/>
  <c r="E90" i="8" s="1"/>
  <c r="D66" i="8"/>
  <c r="F65" i="8"/>
  <c r="H64" i="8"/>
  <c r="H66" i="8" s="1"/>
  <c r="D62" i="8" s="1"/>
  <c r="F64" i="8"/>
  <c r="F63" i="8"/>
  <c r="D59" i="8"/>
  <c r="D58" i="8" s="1"/>
  <c r="E58" i="8"/>
  <c r="D56" i="8"/>
  <c r="D51" i="8"/>
  <c r="F51" i="8" s="1"/>
  <c r="D50" i="8"/>
  <c r="F50" i="8" s="1"/>
  <c r="F49" i="8"/>
  <c r="F48" i="8"/>
  <c r="D47" i="8"/>
  <c r="H46" i="8"/>
  <c r="D46" i="8" s="1"/>
  <c r="F46" i="8" s="1"/>
  <c r="H45" i="8"/>
  <c r="D45" i="8" s="1"/>
  <c r="F45" i="8" s="1"/>
  <c r="E44" i="8"/>
  <c r="H42" i="8"/>
  <c r="H39" i="8"/>
  <c r="H29" i="8"/>
  <c r="E19" i="8"/>
  <c r="F18" i="8"/>
  <c r="E17" i="8"/>
  <c r="D17" i="8"/>
  <c r="F17" i="8" s="1"/>
  <c r="H16" i="8"/>
  <c r="D12" i="8" s="1"/>
  <c r="H10" i="8"/>
  <c r="H8" i="8"/>
  <c r="E6" i="8"/>
  <c r="H281" i="9" l="1"/>
  <c r="H361" i="9"/>
  <c r="D353" i="9" s="1"/>
  <c r="F353" i="9" s="1"/>
  <c r="H113" i="9"/>
  <c r="H26" i="9"/>
  <c r="D7" i="9" s="1"/>
  <c r="F7" i="9" s="1"/>
  <c r="H128" i="9"/>
  <c r="D119" i="9" s="1"/>
  <c r="F119" i="9" s="1"/>
  <c r="H352" i="9"/>
  <c r="D335" i="9" s="1"/>
  <c r="F335" i="9" s="1"/>
  <c r="H11" i="8"/>
  <c r="D7" i="8" s="1"/>
  <c r="F58" i="8"/>
  <c r="E43" i="8"/>
  <c r="F59" i="8"/>
  <c r="F75" i="8"/>
  <c r="E5" i="8"/>
  <c r="F66" i="8"/>
  <c r="D70" i="8"/>
  <c r="H67" i="9"/>
  <c r="D60" i="9" s="1"/>
  <c r="F60" i="9" s="1"/>
  <c r="H249" i="9"/>
  <c r="H43" i="9"/>
  <c r="H142" i="9"/>
  <c r="D129" i="9" s="1"/>
  <c r="F129" i="9" s="1"/>
  <c r="H160" i="9"/>
  <c r="H260" i="9"/>
  <c r="H301" i="9"/>
  <c r="H326" i="9"/>
  <c r="D312" i="9" s="1"/>
  <c r="H52" i="9"/>
  <c r="H83" i="9"/>
  <c r="D68" i="9" s="1"/>
  <c r="F68" i="9" s="1"/>
  <c r="H96" i="9"/>
  <c r="D88" i="9" s="1"/>
  <c r="F88" i="9" s="1"/>
  <c r="H202" i="9"/>
  <c r="H214" i="9"/>
  <c r="H292" i="9"/>
  <c r="H382" i="9"/>
  <c r="D375" i="9" s="1"/>
  <c r="D383" i="9"/>
  <c r="F383" i="9" s="1"/>
  <c r="F100" i="9"/>
  <c r="D6" i="8"/>
  <c r="F76" i="8"/>
  <c r="D36" i="8"/>
  <c r="D40" i="8"/>
  <c r="F40" i="8" s="1"/>
  <c r="H55" i="8"/>
  <c r="D44" i="8" s="1"/>
  <c r="F44" i="8" s="1"/>
  <c r="F56" i="8"/>
  <c r="F68" i="8"/>
  <c r="D369" i="9"/>
  <c r="F369" i="9" s="1"/>
  <c r="F30" i="8"/>
  <c r="H99" i="9"/>
  <c r="D97" i="9" s="1"/>
  <c r="F97" i="9" s="1"/>
  <c r="D110" i="9"/>
  <c r="F110" i="9" s="1"/>
  <c r="F401" i="9"/>
  <c r="F398" i="9" s="1"/>
  <c r="F395" i="9"/>
  <c r="E391" i="9"/>
  <c r="E5" i="9"/>
  <c r="E58" i="9"/>
  <c r="D114" i="9"/>
  <c r="F114" i="9" s="1"/>
  <c r="F396" i="9"/>
  <c r="F399" i="9"/>
  <c r="F89" i="8"/>
  <c r="F7" i="8"/>
  <c r="F86" i="8"/>
  <c r="D387" i="9"/>
  <c r="D386" i="9" s="1"/>
  <c r="F12" i="8"/>
  <c r="F62" i="8"/>
  <c r="D61" i="8"/>
  <c r="D43" i="8"/>
  <c r="F71" i="8"/>
  <c r="F87" i="8"/>
  <c r="D392" i="9"/>
  <c r="D283" i="9" l="1"/>
  <c r="D28" i="9"/>
  <c r="D19" i="8"/>
  <c r="F43" i="8"/>
  <c r="F70" i="8"/>
  <c r="D374" i="9"/>
  <c r="F374" i="9" s="1"/>
  <c r="D59" i="9"/>
  <c r="F36" i="8"/>
  <c r="D282" i="9"/>
  <c r="D334" i="9"/>
  <c r="F334" i="9" s="1"/>
  <c r="F20" i="8"/>
  <c r="F375" i="9"/>
  <c r="D27" i="9"/>
  <c r="F27" i="9" s="1"/>
  <c r="E411" i="9"/>
  <c r="F79" i="8"/>
  <c r="D6" i="9"/>
  <c r="F61" i="8"/>
  <c r="F392" i="9"/>
  <c r="D391" i="9"/>
  <c r="D373" i="9"/>
  <c r="F373" i="9" s="1"/>
  <c r="F312" i="9"/>
  <c r="D311" i="9"/>
  <c r="F387" i="9"/>
  <c r="F386" i="9" s="1"/>
  <c r="E412" i="9" l="1"/>
  <c r="F19" i="8"/>
  <c r="F311" i="9"/>
  <c r="F391" i="9"/>
  <c r="F282" i="9"/>
  <c r="F59" i="9"/>
  <c r="F283" i="9"/>
  <c r="D333" i="9"/>
  <c r="D5" i="9"/>
  <c r="F28" i="9"/>
  <c r="F6" i="9"/>
  <c r="F6" i="8"/>
  <c r="D5" i="8"/>
  <c r="D90" i="8" s="1"/>
  <c r="F60" i="8"/>
  <c r="F333" i="9" l="1"/>
  <c r="F5" i="9"/>
  <c r="F5" i="8"/>
  <c r="F90" i="8" l="1"/>
  <c r="D144" i="9" l="1"/>
  <c r="F144" i="9" s="1"/>
  <c r="D143" i="9" l="1"/>
  <c r="F143" i="9" s="1"/>
  <c r="D58" i="9" l="1"/>
  <c r="F58" i="9" s="1"/>
  <c r="D411" i="9" l="1"/>
  <c r="F411" i="9" s="1"/>
  <c r="F412" i="9" s="1"/>
  <c r="D412" i="9" l="1"/>
</calcChain>
</file>

<file path=xl/sharedStrings.xml><?xml version="1.0" encoding="utf-8"?>
<sst xmlns="http://schemas.openxmlformats.org/spreadsheetml/2006/main" count="857" uniqueCount="517">
  <si>
    <t>현장학습비</t>
  </si>
  <si>
    <t>사무국</t>
    <phoneticPr fontId="2" type="noConversion"/>
  </si>
  <si>
    <t>이자비용</t>
    <phoneticPr fontId="2" type="noConversion"/>
  </si>
  <si>
    <t>일시차입금 상환</t>
    <phoneticPr fontId="2" type="noConversion"/>
  </si>
  <si>
    <t>기타수익자부담경비</t>
  </si>
  <si>
    <t>방과후학교교육활동비</t>
  </si>
  <si>
    <t>체육행사 운영 1,000불 × 10회 =　</t>
  </si>
  <si>
    <t>FUN RUN 운영 1,000불 × 1회 =　</t>
  </si>
  <si>
    <t>MUN 참가비 1,000불× 1회 =</t>
  </si>
  <si>
    <t>SKIS TALENT 준비 10,000불× 1회 =</t>
  </si>
  <si>
    <t>직원및계약교직원인건비</t>
  </si>
  <si>
    <t>01. 입학식 및 졸업식 준비물품 구입</t>
  </si>
  <si>
    <t xml:space="preserve">할로윈행사 &amp; 크리스마스 행사 준비 15불 × 220명 = </t>
    <phoneticPr fontId="2" type="noConversion"/>
  </si>
  <si>
    <t>중등</t>
    <phoneticPr fontId="2" type="noConversion"/>
  </si>
  <si>
    <t>과 목</t>
    <phoneticPr fontId="2" type="noConversion"/>
  </si>
  <si>
    <t>예산액</t>
    <phoneticPr fontId="2" type="noConversion"/>
  </si>
  <si>
    <t>예산액</t>
    <phoneticPr fontId="2" type="noConversion"/>
  </si>
  <si>
    <t>전년도
예산액</t>
    <phoneticPr fontId="2" type="noConversion"/>
  </si>
  <si>
    <t>전년도
예산액</t>
    <phoneticPr fontId="2" type="noConversion"/>
  </si>
  <si>
    <t>비교증감</t>
    <phoneticPr fontId="2" type="noConversion"/>
  </si>
  <si>
    <t>비교증감</t>
    <phoneticPr fontId="2" type="noConversion"/>
  </si>
  <si>
    <t>산출기초(SGD)</t>
    <phoneticPr fontId="2" type="noConversion"/>
  </si>
  <si>
    <t>관</t>
    <phoneticPr fontId="2" type="noConversion"/>
  </si>
  <si>
    <t>관</t>
    <phoneticPr fontId="2" type="noConversion"/>
  </si>
  <si>
    <t>항</t>
    <phoneticPr fontId="2" type="noConversion"/>
  </si>
  <si>
    <t>항</t>
    <phoneticPr fontId="2" type="noConversion"/>
  </si>
  <si>
    <t>목</t>
    <phoneticPr fontId="2" type="noConversion"/>
  </si>
  <si>
    <t>목</t>
    <phoneticPr fontId="2" type="noConversion"/>
  </si>
  <si>
    <t>학부모부담수입</t>
    <phoneticPr fontId="2" type="noConversion"/>
  </si>
  <si>
    <t>등록금</t>
    <phoneticPr fontId="2" type="noConversion"/>
  </si>
  <si>
    <t>입학금</t>
    <phoneticPr fontId="2" type="noConversion"/>
  </si>
  <si>
    <t xml:space="preserve">초등학교 3,210불 x 50명 = </t>
    <phoneticPr fontId="2" type="noConversion"/>
  </si>
  <si>
    <t>소계</t>
    <phoneticPr fontId="2" type="noConversion"/>
  </si>
  <si>
    <t>소계</t>
    <phoneticPr fontId="2" type="noConversion"/>
  </si>
  <si>
    <t>수업료</t>
    <phoneticPr fontId="2" type="noConversion"/>
  </si>
  <si>
    <t>소계</t>
    <phoneticPr fontId="2" type="noConversion"/>
  </si>
  <si>
    <t>학교운영지원비</t>
    <phoneticPr fontId="2" type="noConversion"/>
  </si>
  <si>
    <t>학교운영지원비</t>
    <phoneticPr fontId="2" type="noConversion"/>
  </si>
  <si>
    <t>수익자부담경비</t>
    <phoneticPr fontId="2" type="noConversion"/>
  </si>
  <si>
    <t>학교급식비</t>
    <phoneticPr fontId="2" type="noConversion"/>
  </si>
  <si>
    <t>소계</t>
    <phoneticPr fontId="2" type="noConversion"/>
  </si>
  <si>
    <t>방과후학교_중학교 200불 x 50명 x 2학기 =</t>
    <phoneticPr fontId="2" type="noConversion"/>
  </si>
  <si>
    <t>방과후학교_고등학교 200불 x 60명 x 2학기 =</t>
    <phoneticPr fontId="2" type="noConversion"/>
  </si>
  <si>
    <t>소계</t>
    <phoneticPr fontId="2" type="noConversion"/>
  </si>
  <si>
    <t>소계</t>
    <phoneticPr fontId="2" type="noConversion"/>
  </si>
  <si>
    <t xml:space="preserve">재외국민전형대비특강 300불 x 45명 x 2학기 = </t>
    <phoneticPr fontId="2" type="noConversion"/>
  </si>
  <si>
    <t>AP 시험응시료 260불 × 50명=</t>
    <phoneticPr fontId="2" type="noConversion"/>
  </si>
  <si>
    <t>소계</t>
    <phoneticPr fontId="2" type="noConversion"/>
  </si>
  <si>
    <t>지원금수입</t>
    <phoneticPr fontId="2" type="noConversion"/>
  </si>
  <si>
    <t>교육부지원금</t>
    <phoneticPr fontId="2" type="noConversion"/>
  </si>
  <si>
    <t>현지채용교직원인건비</t>
    <phoneticPr fontId="2" type="noConversion"/>
  </si>
  <si>
    <t xml:space="preserve">인건비 330,000불 x 4분기 = </t>
    <phoneticPr fontId="2" type="noConversion"/>
  </si>
  <si>
    <t>운영비</t>
    <phoneticPr fontId="2" type="noConversion"/>
  </si>
  <si>
    <t>운영비 165,000불 x 4분기 =</t>
    <phoneticPr fontId="2" type="noConversion"/>
  </si>
  <si>
    <t>임차료</t>
    <phoneticPr fontId="2" type="noConversion"/>
  </si>
  <si>
    <t>-</t>
  </si>
  <si>
    <t>-</t>
    <phoneticPr fontId="2" type="noConversion"/>
  </si>
  <si>
    <t>저소득층자녀지원</t>
    <phoneticPr fontId="2" type="noConversion"/>
  </si>
  <si>
    <t>방과후학교지원</t>
    <phoneticPr fontId="2" type="noConversion"/>
  </si>
  <si>
    <t>기타교육부지원금</t>
    <phoneticPr fontId="2" type="noConversion"/>
  </si>
  <si>
    <t>특수교육지원</t>
    <phoneticPr fontId="2" type="noConversion"/>
  </si>
  <si>
    <t>특이소요</t>
    <phoneticPr fontId="2" type="noConversion"/>
  </si>
  <si>
    <t>소계</t>
    <phoneticPr fontId="2" type="noConversion"/>
  </si>
  <si>
    <t>기타국고지원금</t>
    <phoneticPr fontId="2" type="noConversion"/>
  </si>
  <si>
    <t>기타지원금</t>
    <phoneticPr fontId="2" type="noConversion"/>
  </si>
  <si>
    <t>싱가포르정부지원금 EMPLOYMENT CREDIT 40,000불 x 1회</t>
    <phoneticPr fontId="2" type="noConversion"/>
  </si>
  <si>
    <t>행정활동수입</t>
    <phoneticPr fontId="2" type="noConversion"/>
  </si>
  <si>
    <t>사용료및수수료수입</t>
    <phoneticPr fontId="2" type="noConversion"/>
  </si>
  <si>
    <t>사용료 및 수수료</t>
    <phoneticPr fontId="2" type="noConversion"/>
  </si>
  <si>
    <t>학교방문비 및 강당사용료 300불 x 10회 =</t>
    <phoneticPr fontId="2" type="noConversion"/>
  </si>
  <si>
    <t>잡수입_CASH REBATE 등 800불 =</t>
    <phoneticPr fontId="2" type="noConversion"/>
  </si>
  <si>
    <t>잡수입_VENDING MACHINE 600불 x 12월 =</t>
    <phoneticPr fontId="2" type="noConversion"/>
  </si>
  <si>
    <t>기타 수입</t>
    <phoneticPr fontId="9" type="noConversion"/>
  </si>
  <si>
    <t>자산매각수입</t>
    <phoneticPr fontId="2" type="noConversion"/>
  </si>
  <si>
    <t>자산매각수입</t>
    <phoneticPr fontId="2" type="noConversion"/>
  </si>
  <si>
    <t>-</t>
    <phoneticPr fontId="2" type="noConversion"/>
  </si>
  <si>
    <t>이자수입</t>
    <phoneticPr fontId="2" type="noConversion"/>
  </si>
  <si>
    <t>-</t>
    <phoneticPr fontId="2" type="noConversion"/>
  </si>
  <si>
    <t>이자 수입 620불 =</t>
    <phoneticPr fontId="2" type="noConversion"/>
  </si>
  <si>
    <t>전입금수입</t>
    <phoneticPr fontId="2" type="noConversion"/>
  </si>
  <si>
    <t>학교발전기금 전입금</t>
    <phoneticPr fontId="2" type="noConversion"/>
  </si>
  <si>
    <t>법인전입금</t>
    <phoneticPr fontId="2" type="noConversion"/>
  </si>
  <si>
    <t>일시차입금 차입</t>
    <phoneticPr fontId="2" type="noConversion"/>
  </si>
  <si>
    <t>장기차입금 차입</t>
    <phoneticPr fontId="2" type="noConversion"/>
  </si>
  <si>
    <t>기타수입</t>
    <phoneticPr fontId="2" type="noConversion"/>
  </si>
  <si>
    <t>적립금</t>
    <phoneticPr fontId="2" type="noConversion"/>
  </si>
  <si>
    <t>적립금전입액</t>
    <phoneticPr fontId="2" type="noConversion"/>
  </si>
  <si>
    <t>이월금</t>
    <phoneticPr fontId="2" type="noConversion"/>
  </si>
  <si>
    <t>세입합계</t>
    <phoneticPr fontId="2" type="noConversion"/>
  </si>
  <si>
    <t>부서별 필터적용</t>
    <phoneticPr fontId="2" type="noConversion"/>
  </si>
  <si>
    <t>산출기초(단위 : SGD)</t>
    <phoneticPr fontId="2" type="noConversion"/>
  </si>
  <si>
    <t>인건비</t>
    <phoneticPr fontId="2" type="noConversion"/>
  </si>
  <si>
    <t>교원인건비</t>
    <phoneticPr fontId="2" type="noConversion"/>
  </si>
  <si>
    <t>&lt;1. 정규교원&gt;</t>
    <phoneticPr fontId="2" type="noConversion"/>
  </si>
  <si>
    <t>기본급 3,800불 x 58명 x 12월 =</t>
    <phoneticPr fontId="2" type="noConversion"/>
  </si>
  <si>
    <t>경력수당 15,200불 x 12월 =</t>
    <phoneticPr fontId="2" type="noConversion"/>
  </si>
  <si>
    <t>직책수당_교감 700불 x 1명 x 12월 =</t>
    <phoneticPr fontId="2" type="noConversion"/>
  </si>
  <si>
    <t>직책수당_부장 300불 x 13명 x 12월 =</t>
    <phoneticPr fontId="2" type="noConversion"/>
  </si>
  <si>
    <t>주택수당 1,500불 x 38명 x 12월 =</t>
    <phoneticPr fontId="2" type="noConversion"/>
  </si>
  <si>
    <t>사무국</t>
    <phoneticPr fontId="2" type="noConversion"/>
  </si>
  <si>
    <t>담임수당_유치원 200불 x 3학급 x 12월 =</t>
    <phoneticPr fontId="2" type="noConversion"/>
  </si>
  <si>
    <t>사무국</t>
    <phoneticPr fontId="2" type="noConversion"/>
  </si>
  <si>
    <t>담임수당_초등학교 200불 x 2명 x 11학급 x 12월 =</t>
    <phoneticPr fontId="2" type="noConversion"/>
  </si>
  <si>
    <t>담임수당_중학교 200불 x 2명 x 3학급 x 12월 =</t>
    <phoneticPr fontId="2" type="noConversion"/>
  </si>
  <si>
    <t>담임수당_고등학교 200불 x 2명 x 3학급 x 12월 =</t>
    <phoneticPr fontId="2" type="noConversion"/>
  </si>
  <si>
    <t>근속수당 9,000불 x 12월 =</t>
    <phoneticPr fontId="2" type="noConversion"/>
  </si>
  <si>
    <t>진로진학수당 100불 x 3명 x 12월 =</t>
    <phoneticPr fontId="2" type="noConversion"/>
  </si>
  <si>
    <t>사무국</t>
    <phoneticPr fontId="2" type="noConversion"/>
  </si>
  <si>
    <t>보결수당_내부 10불 x 3교시 x 10명 x 12월 =</t>
    <phoneticPr fontId="2" type="noConversion"/>
  </si>
  <si>
    <t>초과근무수당 8,000불 x 12월 =</t>
    <phoneticPr fontId="2" type="noConversion"/>
  </si>
  <si>
    <t>사무국</t>
    <phoneticPr fontId="2" type="noConversion"/>
  </si>
  <si>
    <t>명절휴가비 40,000불 x 2회 =</t>
    <phoneticPr fontId="2" type="noConversion"/>
  </si>
  <si>
    <t>사무국</t>
    <phoneticPr fontId="2" type="noConversion"/>
  </si>
  <si>
    <t>CPF 기관부담금 25,000불 x 12월 x 17% =</t>
    <phoneticPr fontId="2" type="noConversion"/>
  </si>
  <si>
    <t>FWL,CDAC,SDL 기관부담금 4,000불 x 12월 =</t>
    <phoneticPr fontId="2" type="noConversion"/>
  </si>
  <si>
    <t>아침듀티수당 10불 x  3명 x 20일 x  9월 =</t>
    <phoneticPr fontId="2" type="noConversion"/>
  </si>
  <si>
    <t>소계</t>
    <phoneticPr fontId="2" type="noConversion"/>
  </si>
  <si>
    <t>직원및계약교직원인건비</t>
    <phoneticPr fontId="2" type="noConversion"/>
  </si>
  <si>
    <t>&lt;1. 정규직원&gt;</t>
    <phoneticPr fontId="2" type="noConversion"/>
  </si>
  <si>
    <t>기본급 3,500불 x 18명 x 12월 =</t>
    <phoneticPr fontId="2" type="noConversion"/>
  </si>
  <si>
    <t>경력수당 2,200불 x 12월 =</t>
    <phoneticPr fontId="2" type="noConversion"/>
  </si>
  <si>
    <t>직책수당_국장 500불 x 1명 x 12월 =</t>
    <phoneticPr fontId="2" type="noConversion"/>
  </si>
  <si>
    <t>직책수당_팀장 300불 x 3명 x 12월 =</t>
    <phoneticPr fontId="2" type="noConversion"/>
  </si>
  <si>
    <t>직책수당_주임 200불 x 2명 x 12월 =</t>
    <phoneticPr fontId="2" type="noConversion"/>
  </si>
  <si>
    <t>주택수당 1,500불 x 8명 x 12월 =</t>
    <phoneticPr fontId="2" type="noConversion"/>
  </si>
  <si>
    <t>근속수당 6,000불 x 12월 =</t>
    <phoneticPr fontId="2" type="noConversion"/>
  </si>
  <si>
    <t>사무국</t>
    <phoneticPr fontId="2" type="noConversion"/>
  </si>
  <si>
    <t>초과근무수당 4,000불 x 12월 =</t>
    <phoneticPr fontId="2" type="noConversion"/>
  </si>
  <si>
    <t>명절휴가비 10,000불 x 2회 =</t>
    <phoneticPr fontId="2" type="noConversion"/>
  </si>
  <si>
    <t xml:space="preserve">연가보상비 1,000불 x 12월 = </t>
    <phoneticPr fontId="2" type="noConversion"/>
  </si>
  <si>
    <t>CPF 기관부담금 10,000불 x 12월 x 17% =</t>
    <phoneticPr fontId="2" type="noConversion"/>
  </si>
  <si>
    <t>FWL,CDAC,SDL 기관부담금 2,000불 x 12월 =</t>
    <phoneticPr fontId="2" type="noConversion"/>
  </si>
  <si>
    <t>아침듀티수당 10불 x  3명 x 20일 x  9월 =</t>
    <phoneticPr fontId="2" type="noConversion"/>
  </si>
  <si>
    <t>&lt;2. 계약직&gt;</t>
    <phoneticPr fontId="2" type="noConversion"/>
  </si>
  <si>
    <t>01. 시간강사</t>
    <phoneticPr fontId="2" type="noConversion"/>
  </si>
  <si>
    <t>보결수당_내부 외부 60불 x 5교시 x 3명 x 8월 =</t>
    <phoneticPr fontId="2" type="noConversion"/>
  </si>
  <si>
    <t>02. 계약제 교직원</t>
    <phoneticPr fontId="2" type="noConversion"/>
  </si>
  <si>
    <t xml:space="preserve">통학버스탑승도우미 13불 × 3시간 × 20일 × 9개월 × 3명 = </t>
    <phoneticPr fontId="2" type="noConversion"/>
  </si>
  <si>
    <t xml:space="preserve">유치원 청소도우미 12불 × 8시간 × 20일 × 8개월 × 2명 = </t>
    <phoneticPr fontId="2" type="noConversion"/>
  </si>
  <si>
    <t>소계</t>
    <phoneticPr fontId="2" type="noConversion"/>
  </si>
  <si>
    <t>01. 일용직</t>
    <phoneticPr fontId="2" type="noConversion"/>
  </si>
  <si>
    <t>퇴직적립금</t>
    <phoneticPr fontId="2" type="noConversion"/>
  </si>
  <si>
    <t>학교운영비</t>
    <phoneticPr fontId="2" type="noConversion"/>
  </si>
  <si>
    <t>일반운영비</t>
    <phoneticPr fontId="2" type="noConversion"/>
  </si>
  <si>
    <t>시설장비유지비</t>
    <phoneticPr fontId="2" type="noConversion"/>
  </si>
  <si>
    <t>[사무국]</t>
    <phoneticPr fontId="2" type="noConversion"/>
  </si>
  <si>
    <t xml:space="preserve">전산장비유지보수 2,000불 x 12월 = </t>
    <phoneticPr fontId="2" type="noConversion"/>
  </si>
  <si>
    <t xml:space="preserve">학교차량 정비 500불 × 4대 × 12월 = </t>
    <phoneticPr fontId="2" type="noConversion"/>
  </si>
  <si>
    <t xml:space="preserve">시설물유지관리 14,000불 × 12월 = </t>
    <phoneticPr fontId="2" type="noConversion"/>
  </si>
  <si>
    <t>에어컨유지보수 2,000불 × 12월 =</t>
    <phoneticPr fontId="2" type="noConversion"/>
  </si>
  <si>
    <t>전기유지보수 3,000불 × 4분기 =</t>
    <phoneticPr fontId="2" type="noConversion"/>
  </si>
  <si>
    <t>전화유지보수 2,000불 × 2회 =</t>
    <phoneticPr fontId="2" type="noConversion"/>
  </si>
  <si>
    <t>소계</t>
    <phoneticPr fontId="2" type="noConversion"/>
  </si>
  <si>
    <t>지급수수료</t>
    <phoneticPr fontId="2" type="noConversion"/>
  </si>
  <si>
    <t>[사무국]</t>
    <phoneticPr fontId="2" type="noConversion"/>
  </si>
  <si>
    <t>홍보 영상 제작비 2,000불 × 2회=</t>
    <phoneticPr fontId="2" type="noConversion"/>
  </si>
  <si>
    <t>홈페이지 및 전자결재 사용료 500불 × 2회 =</t>
    <phoneticPr fontId="2" type="noConversion"/>
  </si>
  <si>
    <t>도서관 DB호스팅 및 유지보수 400불 × 1회 =</t>
    <phoneticPr fontId="2" type="noConversion"/>
  </si>
  <si>
    <t>도서관</t>
    <phoneticPr fontId="2" type="noConversion"/>
  </si>
  <si>
    <t xml:space="preserve">은행수수료 100불 × 12월 = </t>
    <phoneticPr fontId="2" type="noConversion"/>
  </si>
  <si>
    <t>비자신청 및 발급_동반가족포함 350불 x 80명 =</t>
    <phoneticPr fontId="2" type="noConversion"/>
  </si>
  <si>
    <t>사무국</t>
    <phoneticPr fontId="2" type="noConversion"/>
  </si>
  <si>
    <t>회계.급여 시스템 사용료 2,000불 x 1식 =</t>
    <phoneticPr fontId="2" type="noConversion"/>
  </si>
  <si>
    <t>자문회계사컨설팅 1,000불 x 4분기 =</t>
    <phoneticPr fontId="2" type="noConversion"/>
  </si>
  <si>
    <t>결산감사 8,000불 x 1회 =</t>
    <phoneticPr fontId="2" type="noConversion"/>
  </si>
  <si>
    <t>자문 및 화재점검 비용 등 1,500불 x 2회 =</t>
    <phoneticPr fontId="2" type="noConversion"/>
  </si>
  <si>
    <t>정원관리용역 1,000불 x 12월 =</t>
    <phoneticPr fontId="2" type="noConversion"/>
  </si>
  <si>
    <t>야간경비용역 5,000불 x 12월 =</t>
    <phoneticPr fontId="2" type="noConversion"/>
  </si>
  <si>
    <t xml:space="preserve">화재방화점검 용역 500불 × 4분기 = </t>
    <phoneticPr fontId="2" type="noConversion"/>
  </si>
  <si>
    <t xml:space="preserve">학교방역 용역 1,600불 × 4회 × 4분기 = </t>
    <phoneticPr fontId="2" type="noConversion"/>
  </si>
  <si>
    <t>사무국</t>
    <phoneticPr fontId="2" type="noConversion"/>
  </si>
  <si>
    <t>건물화재보험 등 26,000불 x 1회 =</t>
    <phoneticPr fontId="2" type="noConversion"/>
  </si>
  <si>
    <t>소계</t>
    <phoneticPr fontId="2" type="noConversion"/>
  </si>
  <si>
    <t>[사무국]</t>
    <phoneticPr fontId="2" type="noConversion"/>
  </si>
  <si>
    <t xml:space="preserve">수도전기료 19,000불 x 12월 </t>
    <phoneticPr fontId="2" type="noConversion"/>
  </si>
  <si>
    <t>각종 세금·공과금</t>
    <phoneticPr fontId="2" type="noConversion"/>
  </si>
  <si>
    <t>학교차량 보험료 2,000불 × 4대 =</t>
    <phoneticPr fontId="2" type="noConversion"/>
  </si>
  <si>
    <t xml:space="preserve">운송비 및 취급수수료 900불 × 12월 = </t>
    <phoneticPr fontId="2" type="noConversion"/>
  </si>
  <si>
    <t xml:space="preserve">NEST사용수수료 400불 x 12월 </t>
    <phoneticPr fontId="2" type="noConversion"/>
  </si>
  <si>
    <t xml:space="preserve">인터넷&amp;전화요금(SMS포함) 1,800불 x 12월 </t>
    <phoneticPr fontId="2" type="noConversion"/>
  </si>
  <si>
    <t xml:space="preserve">우편요금 400불 x 5월 </t>
    <phoneticPr fontId="2" type="noConversion"/>
  </si>
  <si>
    <t xml:space="preserve">토지재산세 11,000불 x 12월 </t>
    <phoneticPr fontId="2" type="noConversion"/>
  </si>
  <si>
    <t>사무국</t>
    <phoneticPr fontId="2" type="noConversion"/>
  </si>
  <si>
    <t xml:space="preserve">GST 225,000불 x 2회 = </t>
    <phoneticPr fontId="2" type="noConversion"/>
  </si>
  <si>
    <t>사무국</t>
    <phoneticPr fontId="2" type="noConversion"/>
  </si>
  <si>
    <t>소계</t>
    <phoneticPr fontId="2" type="noConversion"/>
  </si>
  <si>
    <t>[사무국]</t>
    <phoneticPr fontId="2" type="noConversion"/>
  </si>
  <si>
    <t>학교차량 주유비 600불 × 4대 × 12월=</t>
    <phoneticPr fontId="2" type="noConversion"/>
  </si>
  <si>
    <t>소계</t>
    <phoneticPr fontId="2" type="noConversion"/>
  </si>
  <si>
    <t>여비</t>
    <phoneticPr fontId="2" type="noConversion"/>
  </si>
  <si>
    <t>[사무국]</t>
    <phoneticPr fontId="2" type="noConversion"/>
  </si>
  <si>
    <t>소모품비</t>
    <phoneticPr fontId="2" type="noConversion"/>
  </si>
  <si>
    <t>사무국</t>
    <phoneticPr fontId="2" type="noConversion"/>
  </si>
  <si>
    <t>복리후생비</t>
    <phoneticPr fontId="2" type="noConversion"/>
  </si>
  <si>
    <t>[사무국]</t>
    <phoneticPr fontId="2" type="noConversion"/>
  </si>
  <si>
    <t>사무국</t>
    <phoneticPr fontId="2" type="noConversion"/>
  </si>
  <si>
    <t>교직원 외국어 연수 1,000불 × 3개강좌 × 2학기 =</t>
    <phoneticPr fontId="2" type="noConversion"/>
  </si>
  <si>
    <t>교직원 특근매식비 7불 × 10명 × 185일 =</t>
    <phoneticPr fontId="2" type="noConversion"/>
  </si>
  <si>
    <t>교직원의료비지원_가족포함 50불 x 3회 x 20명 x 12월 =</t>
    <phoneticPr fontId="2" type="noConversion"/>
  </si>
  <si>
    <t>귀국지원금 500불 x 20명 =</t>
    <phoneticPr fontId="2" type="noConversion"/>
  </si>
  <si>
    <t>기타일반수용비</t>
    <phoneticPr fontId="2" type="noConversion"/>
  </si>
  <si>
    <t>코로나 대응 방역 물품 구입 4,000불 × 7회 =</t>
    <phoneticPr fontId="2" type="noConversion"/>
  </si>
  <si>
    <t>사무국</t>
    <phoneticPr fontId="2" type="noConversion"/>
  </si>
  <si>
    <t>교직원채용 및 인터넷홍보 등 포스팅비 800불 × 12회 =</t>
    <phoneticPr fontId="2" type="noConversion"/>
  </si>
  <si>
    <t>Year-book 제작 및 인쇄 34불 × 500부 =</t>
    <phoneticPr fontId="2" type="noConversion"/>
  </si>
  <si>
    <t>캘린더 제작 및 인쇄 5불 × 600부 =</t>
    <phoneticPr fontId="2" type="noConversion"/>
  </si>
  <si>
    <t>학교홍보브로셔 제작 및 인쇄 13불 × 500부 =</t>
    <phoneticPr fontId="2" type="noConversion"/>
  </si>
  <si>
    <t>배너 및 기념품 구입 20불 × 200개 =</t>
    <phoneticPr fontId="2" type="noConversion"/>
  </si>
  <si>
    <t>정기간행물구독 50불 × 2부 × 12월 =</t>
    <phoneticPr fontId="2" type="noConversion"/>
  </si>
  <si>
    <t xml:space="preserve">신규교직원 면접 경비 2,000불 × 1회 = </t>
    <phoneticPr fontId="2" type="noConversion"/>
  </si>
  <si>
    <t xml:space="preserve">신규교직원 워크숍 경비 3,000불 × 1회 = </t>
    <phoneticPr fontId="2" type="noConversion"/>
  </si>
  <si>
    <t>[초등]</t>
    <phoneticPr fontId="2" type="noConversion"/>
  </si>
  <si>
    <t xml:space="preserve">학부모급식모니터링 급식 지원 7불 × 3명 × 182일 = </t>
    <phoneticPr fontId="2" type="noConversion"/>
  </si>
  <si>
    <t>초등</t>
    <phoneticPr fontId="2" type="noConversion"/>
  </si>
  <si>
    <t>소계</t>
    <phoneticPr fontId="2" type="noConversion"/>
  </si>
  <si>
    <t>교수학습활동비</t>
    <phoneticPr fontId="2" type="noConversion"/>
  </si>
  <si>
    <t>[유치원]</t>
    <phoneticPr fontId="2" type="noConversion"/>
  </si>
  <si>
    <t>유치원</t>
    <phoneticPr fontId="2" type="noConversion"/>
  </si>
  <si>
    <t>[초등]</t>
    <phoneticPr fontId="2" type="noConversion"/>
  </si>
  <si>
    <t>입학식 준비 500불 × 1회 =</t>
    <phoneticPr fontId="2" type="noConversion"/>
  </si>
  <si>
    <t>초등</t>
    <phoneticPr fontId="2" type="noConversion"/>
  </si>
  <si>
    <t>졸업식 준비 1,000불 × 1회 =</t>
    <phoneticPr fontId="2" type="noConversion"/>
  </si>
  <si>
    <t>초등</t>
    <phoneticPr fontId="2" type="noConversion"/>
  </si>
  <si>
    <t>초등</t>
    <phoneticPr fontId="2" type="noConversion"/>
  </si>
  <si>
    <t>[중등]</t>
    <phoneticPr fontId="2" type="noConversion"/>
  </si>
  <si>
    <t>입학식 준비 500불 × 1회 =</t>
    <phoneticPr fontId="2" type="noConversion"/>
  </si>
  <si>
    <t>중등</t>
    <phoneticPr fontId="2" type="noConversion"/>
  </si>
  <si>
    <t>졸업식 준비 1,000불 × 1회 =</t>
    <phoneticPr fontId="2" type="noConversion"/>
  </si>
  <si>
    <t>중등</t>
    <phoneticPr fontId="2" type="noConversion"/>
  </si>
  <si>
    <t>중등</t>
    <phoneticPr fontId="2" type="noConversion"/>
  </si>
  <si>
    <t>입학설명회 준비_대학 400 × 10회 =</t>
    <phoneticPr fontId="2" type="noConversion"/>
  </si>
  <si>
    <t>중등</t>
    <phoneticPr fontId="2" type="noConversion"/>
  </si>
  <si>
    <t>02. 각종 대회 및 행사</t>
    <phoneticPr fontId="2" type="noConversion"/>
  </si>
  <si>
    <t>[유치원]</t>
    <phoneticPr fontId="2" type="noConversion"/>
  </si>
  <si>
    <t>유치원</t>
    <phoneticPr fontId="2" type="noConversion"/>
  </si>
  <si>
    <t>유치원</t>
    <phoneticPr fontId="2" type="noConversion"/>
  </si>
  <si>
    <t>유치원</t>
    <phoneticPr fontId="2" type="noConversion"/>
  </si>
  <si>
    <t>유치원</t>
    <phoneticPr fontId="2" type="noConversion"/>
  </si>
  <si>
    <t>[초등]</t>
    <phoneticPr fontId="2" type="noConversion"/>
  </si>
  <si>
    <t>과학의 날 준비 400불 × 22부스=</t>
    <phoneticPr fontId="2" type="noConversion"/>
  </si>
  <si>
    <t>초등</t>
    <phoneticPr fontId="2" type="noConversion"/>
  </si>
  <si>
    <t>독서관련 행사 400불 x 2회 =</t>
    <phoneticPr fontId="2" type="noConversion"/>
  </si>
  <si>
    <t>도서관</t>
    <phoneticPr fontId="2" type="noConversion"/>
  </si>
  <si>
    <t>[중등]</t>
    <phoneticPr fontId="2" type="noConversion"/>
  </si>
  <si>
    <t>중등</t>
    <phoneticPr fontId="2" type="noConversion"/>
  </si>
  <si>
    <t>ENGLISH DAY 준비 20불 × 160명 =　</t>
    <phoneticPr fontId="2" type="noConversion"/>
  </si>
  <si>
    <t>세계한국어웅변대회 준비 500불 × 1회 =　</t>
    <phoneticPr fontId="2" type="noConversion"/>
  </si>
  <si>
    <t>통일골든벨대회 준비 2,000불 × 1회 =　</t>
    <phoneticPr fontId="2" type="noConversion"/>
  </si>
  <si>
    <t>PI DAY(MATH) 준비 1,500불 × 1회 =</t>
    <phoneticPr fontId="2" type="noConversion"/>
  </si>
  <si>
    <t>SCIENCE FESTIVAL 준비 3,000불 × 1회 =　</t>
    <phoneticPr fontId="2" type="noConversion"/>
  </si>
  <si>
    <t>독도행사 준비 1,000불 × 1회 =　</t>
    <phoneticPr fontId="2" type="noConversion"/>
  </si>
  <si>
    <t>SPORT DAY 운영 10불 × 160명 =　</t>
    <phoneticPr fontId="2" type="noConversion"/>
  </si>
  <si>
    <t>고3 2학기 통합교육과정운영 1,000불 × 5회 =</t>
    <phoneticPr fontId="2" type="noConversion"/>
  </si>
  <si>
    <t xml:space="preserve">공통 기타 행사 준비 1,000불 x 7회 = </t>
    <phoneticPr fontId="2" type="noConversion"/>
  </si>
  <si>
    <t xml:space="preserve">각종 대회 참가비 1,000불 x 2회 = </t>
    <phoneticPr fontId="2" type="noConversion"/>
  </si>
  <si>
    <t>소계</t>
    <phoneticPr fontId="2" type="noConversion"/>
  </si>
  <si>
    <t>03. 각종 인쇄</t>
    <phoneticPr fontId="2" type="noConversion"/>
  </si>
  <si>
    <t>[유치원]</t>
    <phoneticPr fontId="2" type="noConversion"/>
  </si>
  <si>
    <t>교육계획서 인쇄 50불 × 30부 =</t>
    <phoneticPr fontId="2" type="noConversion"/>
  </si>
  <si>
    <t>유치원</t>
    <phoneticPr fontId="2" type="noConversion"/>
  </si>
  <si>
    <t>[초등]</t>
    <phoneticPr fontId="2" type="noConversion"/>
  </si>
  <si>
    <t>교육계획서 인쇄 50불 × 50부 =</t>
    <phoneticPr fontId="2" type="noConversion"/>
  </si>
  <si>
    <t>학교신문 인쇄 10불 × 400부 × 2학기 =</t>
    <phoneticPr fontId="2" type="noConversion"/>
  </si>
  <si>
    <t>학생핸드북 인쇄 1,500불 × 1회  =　</t>
    <phoneticPr fontId="2" type="noConversion"/>
  </si>
  <si>
    <t>04. 학습준비물 및 교재.교구 구입</t>
    <phoneticPr fontId="2" type="noConversion"/>
  </si>
  <si>
    <t>공개수업 준비물 50불 × 30명 × 1회 =</t>
    <phoneticPr fontId="2" type="noConversion"/>
  </si>
  <si>
    <t xml:space="preserve">학습준비물 구입 50불 × 160명 × 2회 = </t>
    <phoneticPr fontId="2" type="noConversion"/>
  </si>
  <si>
    <t xml:space="preserve">교재 구입 50불 × 160명 × 2회 = </t>
    <phoneticPr fontId="2" type="noConversion"/>
  </si>
  <si>
    <t xml:space="preserve">교구 구입 50불 × 160명 × 2회 = </t>
    <phoneticPr fontId="2" type="noConversion"/>
  </si>
  <si>
    <t>공개수업 준비물 50불 × 23명 × 1회 =</t>
    <phoneticPr fontId="2" type="noConversion"/>
  </si>
  <si>
    <t>진로탐색 검사지 구입 1,000불 × 1회 =</t>
    <phoneticPr fontId="2" type="noConversion"/>
  </si>
  <si>
    <t>심리 검사지 구입비 1,000불 × 1회 =</t>
    <phoneticPr fontId="2" type="noConversion"/>
  </si>
  <si>
    <t>CA수업자료구입 50불 × 25강좌 × 1학기 =　</t>
    <phoneticPr fontId="2" type="noConversion"/>
  </si>
  <si>
    <t>악기 구입 500불 × 5종 =　</t>
    <phoneticPr fontId="2" type="noConversion"/>
  </si>
  <si>
    <t>과학학습자료구입 20불 × 160명× 2학기 =</t>
    <phoneticPr fontId="2" type="noConversion"/>
  </si>
  <si>
    <t xml:space="preserve">체육교구구입 6,000불 x 2회 = </t>
    <phoneticPr fontId="2" type="noConversion"/>
  </si>
  <si>
    <t>[사무국]</t>
    <phoneticPr fontId="2" type="noConversion"/>
  </si>
  <si>
    <t>사무국</t>
    <phoneticPr fontId="2" type="noConversion"/>
  </si>
  <si>
    <t>학생외국어교재구입(영어,중국어) 60,000불 × 1년 =</t>
    <phoneticPr fontId="2" type="noConversion"/>
  </si>
  <si>
    <t>도서관</t>
    <phoneticPr fontId="2" type="noConversion"/>
  </si>
  <si>
    <t>05. 학급운영비</t>
    <phoneticPr fontId="2" type="noConversion"/>
  </si>
  <si>
    <t>상담실 1,000불 × 1회 =</t>
    <phoneticPr fontId="2" type="noConversion"/>
  </si>
  <si>
    <t>06. 기타 교수학습활동</t>
    <phoneticPr fontId="2" type="noConversion"/>
  </si>
  <si>
    <t xml:space="preserve">학부모연수 500불 × 2회 = </t>
    <phoneticPr fontId="2" type="noConversion"/>
  </si>
  <si>
    <t>축구장 대여 150불 × 60회 =</t>
    <phoneticPr fontId="2" type="noConversion"/>
  </si>
  <si>
    <t>기타체육시설 대여 150불 × 30회 =</t>
    <phoneticPr fontId="2" type="noConversion"/>
  </si>
  <si>
    <t>학부모연수 1,000불 × 2학기 =　</t>
    <phoneticPr fontId="2" type="noConversion"/>
  </si>
  <si>
    <t xml:space="preserve">학부모총회 10불 × 100명 = </t>
    <phoneticPr fontId="2" type="noConversion"/>
  </si>
  <si>
    <t>학생복지비</t>
    <phoneticPr fontId="2" type="noConversion"/>
  </si>
  <si>
    <t>기타학생복지비</t>
    <phoneticPr fontId="2" type="noConversion"/>
  </si>
  <si>
    <t>01. 학생 동아리 지원</t>
    <phoneticPr fontId="2" type="noConversion"/>
  </si>
  <si>
    <t>학교신문부 지원 20불 × 15명 × 2학기 =</t>
    <phoneticPr fontId="2" type="noConversion"/>
  </si>
  <si>
    <t>학생동아리활동 지원 100불 × 10개 × 2회 =　</t>
    <phoneticPr fontId="2" type="noConversion"/>
  </si>
  <si>
    <t>미디어부활동 지원 100불 × 12명× 2학기 =</t>
    <phoneticPr fontId="2" type="noConversion"/>
  </si>
  <si>
    <t>02. 저소득층 학비 지원</t>
    <phoneticPr fontId="2" type="noConversion"/>
  </si>
  <si>
    <t>03. 학생건강 및 안전관리</t>
    <phoneticPr fontId="2" type="noConversion"/>
  </si>
  <si>
    <t>학생교직원안전공제회비 25불 × 550명 =</t>
    <phoneticPr fontId="2" type="noConversion"/>
  </si>
  <si>
    <t>의약품 및 의료기기 구입 6,000불 × 2학기 =</t>
    <phoneticPr fontId="2" type="noConversion"/>
  </si>
  <si>
    <t>04. 기타학생지원</t>
    <phoneticPr fontId="2" type="noConversion"/>
  </si>
  <si>
    <t xml:space="preserve">전체조회 운영 50불×4회 = </t>
    <phoneticPr fontId="2" type="noConversion"/>
  </si>
  <si>
    <t>[초등 및 중등]</t>
    <phoneticPr fontId="2" type="noConversion"/>
  </si>
  <si>
    <t>공통</t>
    <phoneticPr fontId="2" type="noConversion"/>
  </si>
  <si>
    <t>업무추진비</t>
    <phoneticPr fontId="2" type="noConversion"/>
  </si>
  <si>
    <t>01. 업무협의회</t>
    <phoneticPr fontId="2" type="noConversion"/>
  </si>
  <si>
    <t>학교운영위원회 업무협의 35불 × 15명 × 2회 =</t>
    <phoneticPr fontId="2" type="noConversion"/>
  </si>
  <si>
    <t>사무국 업무협의 35불 × 15명 × 3팀 × 2회 =</t>
    <phoneticPr fontId="2" type="noConversion"/>
  </si>
  <si>
    <t>교직원 경조사 500불 × 10명 =</t>
    <phoneticPr fontId="2" type="noConversion"/>
  </si>
  <si>
    <t>02. 워크숍 경비</t>
    <phoneticPr fontId="2" type="noConversion"/>
  </si>
  <si>
    <t>자산취득비</t>
    <phoneticPr fontId="2" type="noConversion"/>
  </si>
  <si>
    <t xml:space="preserve">노후프린터 교체 800불 x 2대 = </t>
    <phoneticPr fontId="2" type="noConversion"/>
  </si>
  <si>
    <t>노후에어컨 교체 4,000불 × 5대 =</t>
    <phoneticPr fontId="2" type="noConversion"/>
  </si>
  <si>
    <t>도서구입비</t>
    <phoneticPr fontId="2" type="noConversion"/>
  </si>
  <si>
    <t>도서관 도서구입 15불 × 200권 × 2학기 =</t>
    <phoneticPr fontId="2" type="noConversion"/>
  </si>
  <si>
    <t>시설비</t>
    <phoneticPr fontId="2" type="noConversion"/>
  </si>
  <si>
    <t>시설(대수선)비</t>
    <phoneticPr fontId="2" type="noConversion"/>
  </si>
  <si>
    <t>수익자부담경비</t>
    <phoneticPr fontId="2" type="noConversion"/>
  </si>
  <si>
    <t>학교급식비</t>
    <phoneticPr fontId="2" type="noConversion"/>
  </si>
  <si>
    <t>도란도란</t>
    <phoneticPr fontId="2" type="noConversion"/>
  </si>
  <si>
    <t>CPF기관부담금 3,550불 x 12월 =</t>
    <phoneticPr fontId="2" type="noConversion"/>
  </si>
  <si>
    <t>가스비 1,100불 x 12월 =</t>
    <phoneticPr fontId="2" type="noConversion"/>
  </si>
  <si>
    <t>후드청소 1,500불 x 1회 =</t>
    <phoneticPr fontId="2" type="noConversion"/>
  </si>
  <si>
    <t>식기세척기렌탈 및 세척제 1,500불 x 12월 =</t>
    <phoneticPr fontId="2" type="noConversion"/>
  </si>
  <si>
    <t>보증보험료 100불 x 1회 =</t>
    <phoneticPr fontId="2" type="noConversion"/>
  </si>
  <si>
    <t>건강검진 400불 x 6명 =</t>
    <phoneticPr fontId="2" type="noConversion"/>
  </si>
  <si>
    <t>각종수수료 400불 x 12월 =</t>
    <phoneticPr fontId="2" type="noConversion"/>
  </si>
  <si>
    <t>(수익자부담) 방과후학교_중학교 200불 x 50명 x 2학기 =</t>
    <phoneticPr fontId="2" type="noConversion"/>
  </si>
  <si>
    <t>(수익자부담) 방과후학교_고등학교 200불 x 60명 x 2학기 =</t>
    <phoneticPr fontId="2" type="noConversion"/>
  </si>
  <si>
    <t>재외국민전형대비특강 300불 ×45명× 2학기 =　</t>
    <phoneticPr fontId="2" type="noConversion"/>
  </si>
  <si>
    <t>AP 시험응시료 260불 × 50명=</t>
    <phoneticPr fontId="2" type="noConversion"/>
  </si>
  <si>
    <t>장기차입금 상환</t>
    <phoneticPr fontId="2" type="noConversion"/>
  </si>
  <si>
    <t>대출원금 상환 50,000불 x 3월 =</t>
    <phoneticPr fontId="2" type="noConversion"/>
  </si>
  <si>
    <t>이자비용</t>
    <phoneticPr fontId="2" type="noConversion"/>
  </si>
  <si>
    <t>기타지출</t>
    <phoneticPr fontId="2" type="noConversion"/>
  </si>
  <si>
    <t>예비비</t>
    <phoneticPr fontId="2" type="noConversion"/>
  </si>
  <si>
    <t>적립금전출액</t>
    <phoneticPr fontId="2" type="noConversion"/>
  </si>
  <si>
    <t>반환금</t>
    <phoneticPr fontId="2" type="noConversion"/>
  </si>
  <si>
    <t>잡지출</t>
    <phoneticPr fontId="2" type="noConversion"/>
  </si>
  <si>
    <t>이월금</t>
    <phoneticPr fontId="2" type="noConversion"/>
  </si>
  <si>
    <t>다음연도이월금</t>
    <phoneticPr fontId="2" type="noConversion"/>
  </si>
  <si>
    <t>교사동 증축비용 지원</t>
    <phoneticPr fontId="2" type="noConversion"/>
  </si>
  <si>
    <t>세출합계(A)</t>
    <phoneticPr fontId="2" type="noConversion"/>
  </si>
  <si>
    <t>이자비용 5,000불 =</t>
    <phoneticPr fontId="2" type="noConversion"/>
  </si>
  <si>
    <t xml:space="preserve">생수구입 700불 x 12월 = </t>
    <phoneticPr fontId="2" type="noConversion"/>
  </si>
  <si>
    <t>자녀학비수당 1,200불 x 40명 x 12월 =</t>
    <phoneticPr fontId="2" type="noConversion"/>
  </si>
  <si>
    <t>자녀학비수당 1,200불 x 6명 x 12월 =</t>
    <phoneticPr fontId="2" type="noConversion"/>
  </si>
  <si>
    <t>사무국</t>
    <phoneticPr fontId="2" type="noConversion"/>
  </si>
  <si>
    <t>유치원 3,210불 x 15명 =</t>
    <phoneticPr fontId="2" type="noConversion"/>
  </si>
  <si>
    <t>고등학교 3,210불 x 20명 =</t>
    <phoneticPr fontId="2" type="noConversion"/>
  </si>
  <si>
    <t>외부버스 임차료 7,000불 × 2학기 =</t>
    <phoneticPr fontId="2" type="noConversion"/>
  </si>
  <si>
    <t>복사기 임차료 및 사용료 1,000불 x 8대 x 12월 =</t>
    <phoneticPr fontId="2" type="noConversion"/>
  </si>
  <si>
    <t>청소용역 12,000불 x 12월 =</t>
    <phoneticPr fontId="2" type="noConversion"/>
  </si>
  <si>
    <t>교직원 직무능력개발비 300불 × 30명 =</t>
    <phoneticPr fontId="2" type="noConversion"/>
  </si>
  <si>
    <t xml:space="preserve">전체 교직원 워크숍 30불 × 90명 × 2일× 2학기 = </t>
    <phoneticPr fontId="2" type="noConversion"/>
  </si>
  <si>
    <t>교직원 직무연수 등 2000불 ×  2학기 =</t>
    <phoneticPr fontId="2" type="noConversion"/>
  </si>
  <si>
    <t>교직원 급량비 지원 2불 × 80명 × 185일 =</t>
    <phoneticPr fontId="2" type="noConversion"/>
  </si>
  <si>
    <t>정착준비금 500불 x 7명 =</t>
    <phoneticPr fontId="2" type="noConversion"/>
  </si>
  <si>
    <t>유관기관 업무협의 35불 × 30명 × 2회 =</t>
    <phoneticPr fontId="2" type="noConversion"/>
  </si>
  <si>
    <t>도서관자원봉사자(학생) 업무 협의 20불 X 10명 X 2학기 =</t>
    <phoneticPr fontId="2" type="noConversion"/>
  </si>
  <si>
    <t>노후컴퓨터 교체 1,200불 × 5대 =</t>
    <phoneticPr fontId="2" type="noConversion"/>
  </si>
  <si>
    <t>기타노후장비 교체 2,000불 x 4대 =</t>
    <phoneticPr fontId="2" type="noConversion"/>
  </si>
  <si>
    <t>기타 비품구입 1,000불 × 5회 =</t>
    <phoneticPr fontId="2" type="noConversion"/>
  </si>
  <si>
    <t>중학교 3,210불 x 10명 =</t>
    <phoneticPr fontId="2" type="noConversion"/>
  </si>
  <si>
    <t>국외_숙박비 200불 x 3명 x 5일 x 2회 =</t>
    <phoneticPr fontId="2" type="noConversion"/>
  </si>
  <si>
    <t>국외_신규교직원 채용 1,000불(왕복교통비,숙박비, 식비 포함) x 2명 x 5일 =</t>
    <phoneticPr fontId="2" type="noConversion"/>
  </si>
  <si>
    <t>정규수업 강사비 8,500불 × 8월 =　</t>
    <phoneticPr fontId="2" type="noConversion"/>
  </si>
  <si>
    <t>국외_식비 50불 x 5일 x 3명x 2회 =</t>
    <phoneticPr fontId="2" type="noConversion"/>
  </si>
  <si>
    <t>국외_체재비 75불 x 5일 x 3명 x 2회 x =</t>
    <phoneticPr fontId="2" type="noConversion"/>
  </si>
  <si>
    <t>국내_식비 20불 x 5명 x 3회 x 10월 =</t>
    <phoneticPr fontId="2" type="noConversion"/>
  </si>
  <si>
    <t>프린터 토너 등 전산소모품 구입 2000불 × 7회 =</t>
    <phoneticPr fontId="2" type="noConversion"/>
  </si>
  <si>
    <t>이월금 350,000불 x 1회 =</t>
    <phoneticPr fontId="2" type="noConversion"/>
  </si>
  <si>
    <t>국외_항공료 1,500불(왕복) x 3명 x 2회 =</t>
    <phoneticPr fontId="2" type="noConversion"/>
  </si>
  <si>
    <t>일용인부 100불 × 25일 × 2명 =　</t>
    <phoneticPr fontId="2" type="noConversion"/>
  </si>
  <si>
    <t>사무용품 구입 5,891불 × 2학기 =</t>
    <phoneticPr fontId="2" type="noConversion"/>
  </si>
  <si>
    <t>인건비(기본급,주택수당,의료비 등 포함) 4,400불 x 6명 x 12월 =</t>
    <phoneticPr fontId="2" type="noConversion"/>
  </si>
  <si>
    <t>급식재료비 25,000불 x 9월 =</t>
    <phoneticPr fontId="2" type="noConversion"/>
  </si>
  <si>
    <t>카페테리아재료비 1,700불 x 9월 =</t>
    <phoneticPr fontId="2" type="noConversion"/>
  </si>
  <si>
    <t>직원 협의회 35불 x 6명 x 2회 =</t>
    <phoneticPr fontId="2" type="noConversion"/>
  </si>
  <si>
    <t>소모품구입 500불 x 12월 =</t>
    <phoneticPr fontId="2" type="noConversion"/>
  </si>
  <si>
    <t>식당방역 340불 x 10월 =</t>
    <phoneticPr fontId="2" type="noConversion"/>
  </si>
  <si>
    <t>시설장비유지보수 500 x 12월 =</t>
    <phoneticPr fontId="2" type="noConversion"/>
  </si>
  <si>
    <t>출장비 50불 x 12월 =</t>
    <phoneticPr fontId="2" type="noConversion"/>
  </si>
  <si>
    <t>방학중_CCA 6불 x 80명 x 40일 =</t>
    <phoneticPr fontId="9" type="noConversion"/>
  </si>
  <si>
    <t>학기중_점심.저녁 250불 x 185일 =</t>
    <phoneticPr fontId="9" type="noConversion"/>
  </si>
  <si>
    <t>CAFETERIA_토요일 100불 x 30일 =</t>
    <phoneticPr fontId="9" type="noConversion"/>
  </si>
  <si>
    <t>교직원 5불 x 70명 x 185일 =</t>
    <phoneticPr fontId="2" type="noConversion"/>
  </si>
  <si>
    <t>CAFETERIA_학기중 102불 x 185일  =</t>
    <phoneticPr fontId="9" type="noConversion"/>
  </si>
  <si>
    <t>토요일_점심 7불 x 81명 x 30일 =</t>
    <phoneticPr fontId="9" type="noConversion"/>
  </si>
  <si>
    <t>식당하수도 청소 2,840불 x 1회 =</t>
    <phoneticPr fontId="2" type="noConversion"/>
  </si>
  <si>
    <t>유치원 5불 x 44명 x 185일 =</t>
    <phoneticPr fontId="2" type="noConversion"/>
  </si>
  <si>
    <t>초등학교 6불 x 218명 x 185일 =</t>
    <phoneticPr fontId="2" type="noConversion"/>
  </si>
  <si>
    <t>중고등학교 7불 x 160명 x 185일 =</t>
    <phoneticPr fontId="2" type="noConversion"/>
  </si>
  <si>
    <t xml:space="preserve">방과후학교_유치원 50불 x 44명 x 3과목  x 5주 = </t>
    <phoneticPr fontId="2" type="noConversion"/>
  </si>
  <si>
    <t xml:space="preserve">방과후학교_초등학교 150불 x 200명 x 2학기 = </t>
    <phoneticPr fontId="2" type="noConversion"/>
  </si>
  <si>
    <t>현장체험학습_유치원 20불 x 44명 x 4회 =</t>
    <phoneticPr fontId="2" type="noConversion"/>
  </si>
  <si>
    <t>현장체험학습_초등학교 40불 x 220명 x 4회 =</t>
    <phoneticPr fontId="2" type="noConversion"/>
  </si>
  <si>
    <t xml:space="preserve">현장체험학습_중고 50불 x 65명 x 4회 = </t>
    <phoneticPr fontId="2" type="noConversion"/>
  </si>
  <si>
    <t>저소득층자녀학비지원 160,000불 x 1회 =</t>
    <phoneticPr fontId="2" type="noConversion"/>
  </si>
  <si>
    <t xml:space="preserve">교수학습자료구입 26,000불 x 1회 = </t>
    <phoneticPr fontId="2" type="noConversion"/>
  </si>
  <si>
    <t xml:space="preserve">통학버스탑승도우미 </t>
    <phoneticPr fontId="2" type="noConversion"/>
  </si>
  <si>
    <t xml:space="preserve">방과후학교지원 26,000불 x 1회 = </t>
    <phoneticPr fontId="2" type="noConversion"/>
  </si>
  <si>
    <t xml:space="preserve">(목적사업비) 특수교육지원 = </t>
    <phoneticPr fontId="2" type="noConversion"/>
  </si>
  <si>
    <t xml:space="preserve">(수익자부담) 방과후학교 교육비 50불 x 44명 x 3과목 x 5주 = </t>
    <phoneticPr fontId="2" type="noConversion"/>
  </si>
  <si>
    <t xml:space="preserve">(수익자부담) 방과후학교 교육비 150불 x 200명 x 2학기  = </t>
    <phoneticPr fontId="2" type="noConversion"/>
  </si>
  <si>
    <t>유치원 20불 x 44명 x 4회 =</t>
    <phoneticPr fontId="2" type="noConversion"/>
  </si>
  <si>
    <t>현장체험학습 40불 x 220명 x 4회 =</t>
    <phoneticPr fontId="2" type="noConversion"/>
  </si>
  <si>
    <t xml:space="preserve">현장체험학습 50불 x 65명  x 4회 = </t>
    <phoneticPr fontId="2" type="noConversion"/>
  </si>
  <si>
    <t xml:space="preserve">(목적사업비) 방과후학교 교육비 26,000불 * 1회 = </t>
    <phoneticPr fontId="2" type="noConversion"/>
  </si>
  <si>
    <t>(목적사업비) 저소득층자녀 학비지원 160,000불 × 1회 =</t>
    <phoneticPr fontId="2" type="noConversion"/>
  </si>
  <si>
    <t>2021학년도 싱가포르한국국제학교 세입예산서</t>
    <phoneticPr fontId="2" type="noConversion"/>
  </si>
  <si>
    <t>2021학년도 싱가포르한국국제학교 세출예산서</t>
    <phoneticPr fontId="2" type="noConversion"/>
  </si>
  <si>
    <t xml:space="preserve">신입생 오리엔테이션 준비 5불 × 44명 = </t>
    <phoneticPr fontId="2" type="noConversion"/>
  </si>
  <si>
    <t>공개수업 준비물 300불 × 3학급 × 2회 =</t>
    <phoneticPr fontId="2" type="noConversion"/>
  </si>
  <si>
    <t>졸업식 선물 및 준비물품 25불 × 12명 × 1회 =</t>
    <phoneticPr fontId="2" type="noConversion"/>
  </si>
  <si>
    <t>(교무부)1학기 행사 준비물품 구입 20불 × 44명 × 1회 =</t>
    <phoneticPr fontId="2" type="noConversion"/>
  </si>
  <si>
    <t xml:space="preserve">어린이날 선물 구입 10불 × 44명 × 1회 = </t>
    <phoneticPr fontId="2" type="noConversion"/>
  </si>
  <si>
    <t xml:space="preserve">크리스마스행사 20불 × 44명 =    </t>
    <phoneticPr fontId="2" type="noConversion"/>
  </si>
  <si>
    <t xml:space="preserve">교재교구 구입 50불 × 44명 × 2회 = </t>
    <phoneticPr fontId="2" type="noConversion"/>
  </si>
  <si>
    <t xml:space="preserve">교육과정 협의회 35불 × 13명 × 2회 = </t>
    <phoneticPr fontId="2" type="noConversion"/>
  </si>
  <si>
    <t>(연구부)1학기 행사 준비물품 구입 20불 × 44명 × 1회 =</t>
    <phoneticPr fontId="2" type="noConversion"/>
  </si>
  <si>
    <t xml:space="preserve">한국전통문화 체험 자료 구입 20불 × 44명 × 6회 = </t>
    <phoneticPr fontId="2" type="noConversion"/>
  </si>
  <si>
    <t xml:space="preserve">민속의 날 행사 700불 × 1회 = </t>
    <phoneticPr fontId="2" type="noConversion"/>
  </si>
  <si>
    <t xml:space="preserve">유초연계 준비물품 구입 10불 × 80명 = </t>
    <phoneticPr fontId="2" type="noConversion"/>
  </si>
  <si>
    <t xml:space="preserve">일반학급 500불 × 3학급 × 2학기 = </t>
    <phoneticPr fontId="2" type="noConversion"/>
  </si>
  <si>
    <t xml:space="preserve">국제교류 준비물품 구입 20불 × 44명 × 2회 = </t>
    <phoneticPr fontId="2" type="noConversion"/>
  </si>
  <si>
    <t xml:space="preserve">할로윈행사  10불 × 44명 =  </t>
    <phoneticPr fontId="2" type="noConversion"/>
  </si>
  <si>
    <t xml:space="preserve">International week 준비물품 구입 50불 × 44명 = </t>
    <phoneticPr fontId="2" type="noConversion"/>
  </si>
  <si>
    <t>외국어 학습준비물 구입 25불 × 44명 × 4회 =</t>
    <phoneticPr fontId="2" type="noConversion"/>
  </si>
  <si>
    <t xml:space="preserve">학습준비물 구입 25불  × 44명 × 4회 = </t>
    <phoneticPr fontId="2" type="noConversion"/>
  </si>
  <si>
    <t xml:space="preserve">신입생 오리엔테이션 준비 10불 × 50명 = </t>
    <phoneticPr fontId="2" type="noConversion"/>
  </si>
  <si>
    <t>입학설명회 준비 10불 × 50명 =</t>
    <phoneticPr fontId="2" type="noConversion"/>
  </si>
  <si>
    <t xml:space="preserve">공통 기타 행사 준비 1,000불 x 2회 = </t>
    <phoneticPr fontId="2" type="noConversion"/>
  </si>
  <si>
    <t>독서교육 10불 × 220명=</t>
    <phoneticPr fontId="2" type="noConversion"/>
  </si>
  <si>
    <t xml:space="preserve">레벨학급 400불 × 5학급 × 2학기 = </t>
    <phoneticPr fontId="2" type="noConversion"/>
  </si>
  <si>
    <t>코딩교육 교재, 수업재료,행사비 30불 × 140명(3-6학년) × 2학기 =</t>
    <phoneticPr fontId="2" type="noConversion"/>
  </si>
  <si>
    <t xml:space="preserve">동아리활동자료 구입 50불 × 22강좌 × 2학기 = </t>
    <phoneticPr fontId="2" type="noConversion"/>
  </si>
  <si>
    <t xml:space="preserve">과학학습자료 구입(슬기로운 생활 포함) 60불 × 220명 × 2학기 = </t>
    <phoneticPr fontId="2" type="noConversion"/>
  </si>
  <si>
    <t>초등 CA수업 강사비 60불 × 7명 × 24회=　</t>
    <phoneticPr fontId="2" type="noConversion"/>
  </si>
  <si>
    <t>초등</t>
    <phoneticPr fontId="2" type="noConversion"/>
  </si>
  <si>
    <t>사물놀이부 지원 5불 × 20명 × 20회 =</t>
    <phoneticPr fontId="2" type="noConversion"/>
  </si>
  <si>
    <t>오케스트라 지원 5불 × 50명 × 20회 =</t>
    <phoneticPr fontId="2" type="noConversion"/>
  </si>
  <si>
    <t xml:space="preserve">방과후학교_(초중고 통합)오케스트라 500불 x 50명 x 2학기 = </t>
    <phoneticPr fontId="9" type="noConversion"/>
  </si>
  <si>
    <t xml:space="preserve">(수익자부담)방과후학교_초중고통합 오케스트라 500불 x 50명 x 2학기 = </t>
    <phoneticPr fontId="9" type="noConversion"/>
  </si>
  <si>
    <t>악기 및 악보 구입 1,000불 × 5회 =　</t>
    <phoneticPr fontId="2" type="noConversion"/>
  </si>
  <si>
    <t xml:space="preserve">교구 및 악기 수리비용(오케스트라 포함) 500불 × 8회= </t>
    <phoneticPr fontId="2" type="noConversion"/>
  </si>
  <si>
    <t>스포츠데이 운영 165불 × 11학급 × 2회 =</t>
    <phoneticPr fontId="2" type="noConversion"/>
  </si>
  <si>
    <t>심성수련 5불 × 220명 =</t>
    <phoneticPr fontId="2" type="noConversion"/>
  </si>
  <si>
    <t>축구장 대여 150불 × 55회 =</t>
    <phoneticPr fontId="2" type="noConversion"/>
  </si>
  <si>
    <t>수영장 대여 150불 × 55회 =</t>
    <phoneticPr fontId="2" type="noConversion"/>
  </si>
  <si>
    <t>성교육 및 성폭력예방교육 80불 X 11학급 X 1회=</t>
    <phoneticPr fontId="2" type="noConversion"/>
  </si>
  <si>
    <t>Myon 상품 구입 10불 X 80명 X 2회 =</t>
    <phoneticPr fontId="2" type="noConversion"/>
  </si>
  <si>
    <t xml:space="preserve">학년별 국제교류 활동 준비 40불 × 180명(2~5학년) × 2회 = </t>
    <phoneticPr fontId="2" type="noConversion"/>
  </si>
  <si>
    <t>IPC 등록 갱신비용 5,250불=</t>
    <phoneticPr fontId="2" type="noConversion"/>
  </si>
  <si>
    <t>IPC 전시회 행사 70불×220명 =</t>
    <phoneticPr fontId="2" type="noConversion"/>
  </si>
  <si>
    <t>중국어주간 행사 준비 30불 × 220명 =</t>
    <phoneticPr fontId="2" type="noConversion"/>
  </si>
  <si>
    <t>외국어 학습준비물 구입 12불 × 220명 × 2회 + 400불 × 2회 × 7명(교사) =</t>
    <phoneticPr fontId="2" type="noConversion"/>
  </si>
  <si>
    <t>Myon 프로그램 운영비12,000불 =</t>
    <phoneticPr fontId="2" type="noConversion"/>
  </si>
  <si>
    <t>TOEFL Primary&amp;Junior TEST 응시료 (60$×80명+50$×120명+시험감독 11명×60$=</t>
    <phoneticPr fontId="2" type="noConversion"/>
  </si>
  <si>
    <t>오케스트라 정기연주회(대관료 등) 10,000불 × 1회 =</t>
    <phoneticPr fontId="2" type="noConversion"/>
  </si>
  <si>
    <t xml:space="preserve">학습준비물 구입 40불 × 220명 × 2회 = </t>
    <phoneticPr fontId="2" type="noConversion"/>
  </si>
  <si>
    <t xml:space="preserve">교육과정협의회 35불 × 30명 × 2회 = </t>
    <phoneticPr fontId="2" type="noConversion"/>
  </si>
  <si>
    <t xml:space="preserve">(목적사업비)공통 교수학습자료구입 26,000불 x 1회 = </t>
    <phoneticPr fontId="2" type="noConversion"/>
  </si>
  <si>
    <t>교직원 간담회 35불 × 80명 × 2회 =</t>
    <phoneticPr fontId="2" type="noConversion"/>
  </si>
  <si>
    <t>초등 학부모 간담회 10불 X 16명 X 4회 =</t>
    <phoneticPr fontId="2" type="noConversion"/>
  </si>
  <si>
    <t xml:space="preserve">학급운영비 500불 × 11학급 × 2학기 = </t>
    <phoneticPr fontId="2" type="noConversion"/>
  </si>
  <si>
    <t>IPC 자료 구입 500불 × 11학급 × 2학기 =</t>
    <phoneticPr fontId="2" type="noConversion"/>
  </si>
  <si>
    <t xml:space="preserve">신입생 오리엔테이션 준비 5불 × 65명 × 1회 = </t>
    <phoneticPr fontId="2" type="noConversion"/>
  </si>
  <si>
    <t>입학설명회 준비_교내 5불 × 65명 × 1회 =</t>
    <phoneticPr fontId="2" type="noConversion"/>
  </si>
  <si>
    <t xml:space="preserve">학부모총회 5불 × 100명 = </t>
    <phoneticPr fontId="2" type="noConversion"/>
  </si>
  <si>
    <t>전편입생 면접 준비물품 구입 20불 × 5명 × 2회 =</t>
    <phoneticPr fontId="2" type="noConversion"/>
  </si>
  <si>
    <t>중등</t>
    <phoneticPr fontId="2" type="noConversion"/>
  </si>
  <si>
    <t xml:space="preserve">교육과정협의회 35불 × 33명 × 2회 = </t>
    <phoneticPr fontId="2" type="noConversion"/>
  </si>
  <si>
    <t>RESERCH PROJECT 준비 10불 × 100명 =　</t>
    <phoneticPr fontId="2" type="noConversion"/>
  </si>
  <si>
    <t>학부모상담 준비 150불 × 9학급 × 1회 =　</t>
    <phoneticPr fontId="2" type="noConversion"/>
  </si>
  <si>
    <t>중학 학급운영비 500불 × 3학급 × 2학기 =　</t>
    <phoneticPr fontId="2" type="noConversion"/>
  </si>
  <si>
    <t>고등 학급운영비 500불 × 6학급 × 2학기 =　</t>
    <phoneticPr fontId="2" type="noConversion"/>
  </si>
  <si>
    <t>중등 대학입학워크숍 35불×8회×3명 =</t>
    <phoneticPr fontId="2" type="noConversion"/>
  </si>
  <si>
    <t>우수성 설명자료 인쇄 30불 × 250부 =　</t>
    <phoneticPr fontId="2" type="noConversion"/>
  </si>
  <si>
    <t>중고등학생 영어공인시험 응시료 지원 
 1인당 60$ ×160명 =</t>
    <phoneticPr fontId="2" type="noConversion"/>
  </si>
  <si>
    <t xml:space="preserve">CHINESE DAY 준비 20불 × 160명 = </t>
    <phoneticPr fontId="2" type="noConversion"/>
  </si>
  <si>
    <t>애플데이 운영 800불 × 1회 =</t>
    <phoneticPr fontId="2" type="noConversion"/>
  </si>
  <si>
    <t>학생 자치회 운영 1,500불 × 4회 =　</t>
    <phoneticPr fontId="2" type="noConversion"/>
  </si>
  <si>
    <t>기타교육시설 대여 150불 × 30회 =</t>
    <phoneticPr fontId="2" type="noConversion"/>
  </si>
  <si>
    <t>학교신문 인쇄 10불 × 200부 ×2학기 =</t>
    <phoneticPr fontId="2" type="noConversion"/>
  </si>
  <si>
    <t>검증</t>
    <phoneticPr fontId="2" type="noConversion"/>
  </si>
  <si>
    <t>유치원 5,730불 x 44명 x 2학기 =</t>
    <phoneticPr fontId="2" type="noConversion"/>
  </si>
  <si>
    <t xml:space="preserve">초등학교 6,012불 x 220명 x 2학기 = </t>
    <phoneticPr fontId="2" type="noConversion"/>
  </si>
  <si>
    <t>중학교 8,596불 x 65명 x 2학기 =</t>
    <phoneticPr fontId="2" type="noConversion"/>
  </si>
  <si>
    <t>고등학교 10,675불 x 102명 x 2학기 =</t>
    <phoneticPr fontId="2" type="noConversion"/>
  </si>
  <si>
    <t>국외_신규교직원 이전비 1,000불 x 7명 =</t>
    <phoneticPr fontId="2" type="noConversion"/>
  </si>
  <si>
    <t>소규모 시설 공사 11,200불 ×3식 =</t>
    <phoneticPr fontId="2" type="noConversion"/>
  </si>
  <si>
    <t>싱가포르한국국제학교회계 세입 ·세출 예산서</t>
    <phoneticPr fontId="23" type="noConversion"/>
  </si>
  <si>
    <t>싱 가 포 르 한 국 국 제 학 교</t>
    <phoneticPr fontId="2" type="noConversion"/>
  </si>
  <si>
    <t>학교법인 싱가포르한국국제학교</t>
    <phoneticPr fontId="2" type="noConversion"/>
  </si>
  <si>
    <t>2021학년도</t>
    <phoneticPr fontId="2" type="noConversion"/>
  </si>
  <si>
    <t>(1차)시설적립금 전입액(교사동 증축 비용)</t>
    <phoneticPr fontId="2" type="noConversion"/>
  </si>
  <si>
    <t xml:space="preserve">국제교류 준비 50불 × 100명 = </t>
    <phoneticPr fontId="2" type="noConversion"/>
  </si>
  <si>
    <t>교사동 증축 비용(2021예산 450,000불, 적립금전입액 900,000불, 법인회계 지원 150,000불)</t>
    <phoneticPr fontId="2" type="noConversion"/>
  </si>
  <si>
    <t>국내_교통비 10불 x 10명 x 8회 x 10월 =</t>
    <phoneticPr fontId="2" type="noConversion"/>
  </si>
  <si>
    <t>또래상담부 운영 1,700불 × 1회 =　</t>
    <phoneticPr fontId="2" type="noConversion"/>
  </si>
  <si>
    <t>잡수입</t>
    <phoneticPr fontId="2" type="noConversion"/>
  </si>
  <si>
    <t>지난연도이월금</t>
    <phoneticPr fontId="2" type="noConversion"/>
  </si>
  <si>
    <t>지난연도이월사업비</t>
    <phoneticPr fontId="2" type="noConversion"/>
  </si>
  <si>
    <t>지난연도이월순세계잉여금</t>
    <phoneticPr fontId="2" type="noConversion"/>
  </si>
  <si>
    <t>지난연도수입</t>
    <phoneticPr fontId="2" type="noConversion"/>
  </si>
  <si>
    <t>수도광열비</t>
    <phoneticPr fontId="2" type="noConversion"/>
  </si>
  <si>
    <t>리스·임차료</t>
    <phoneticPr fontId="2" type="noConversion"/>
  </si>
  <si>
    <t>차량유지비</t>
    <phoneticPr fontId="2" type="noConversion"/>
  </si>
  <si>
    <t>기타소모품 구입 및 비품수선비 1,850불 × 4분기 =</t>
    <phoneticPr fontId="2" type="noConversion"/>
  </si>
  <si>
    <t>[도서관운영비]</t>
    <phoneticPr fontId="2" type="noConversion"/>
  </si>
  <si>
    <t>시설비(대수선비)</t>
    <phoneticPr fontId="2" type="noConversion"/>
  </si>
  <si>
    <t>차입원리금상환</t>
    <phoneticPr fontId="2" type="noConversion"/>
  </si>
  <si>
    <t>차입금상환</t>
    <phoneticPr fontId="2" type="noConversion"/>
  </si>
  <si>
    <t>차입금차입</t>
    <phoneticPr fontId="2" type="noConversion"/>
  </si>
  <si>
    <t>시설(대수선)비-교사동증축</t>
    <phoneticPr fontId="2" type="noConversion"/>
  </si>
  <si>
    <t>tlsrh</t>
    <phoneticPr fontId="2" type="noConversion"/>
  </si>
  <si>
    <t>⑩ 이월사업비</t>
    <phoneticPr fontId="2" type="noConversion"/>
  </si>
  <si>
    <t>⑪ 순세계잉여금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</si>
</sst>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4" formatCode="_-&quot;₩&quot;* #,##0.00_-;\-&quot;₩&quot;* #,##0.00_-;_-&quot;₩&quot;* &quot;-&quot;??_-;_-@_-"/>
    <numFmt numFmtId="176" formatCode="_(* #,##0_);_(* \(#,##0\);_(* &quot;-&quot;_);_(@_)"/>
    <numFmt numFmtId="177" formatCode="_(* #,##0.00_);_(* \(#,##0.00\);_(* &quot;-&quot;_);_(@_)"/>
    <numFmt numFmtId="178" formatCode="0.0%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theme="1"/>
      <name val="굴림"/>
      <family val="3"/>
      <charset val="129"/>
    </font>
    <font>
      <sz val="10"/>
      <name val="굴림"/>
      <family val="3"/>
      <charset val="129"/>
    </font>
    <font>
      <sz val="10"/>
      <color rgb="FFFF0000"/>
      <name val="굴림"/>
      <family val="3"/>
      <charset val="129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0"/>
      <name val="굴림"/>
      <family val="3"/>
      <charset val="129"/>
    </font>
    <font>
      <b/>
      <sz val="10"/>
      <color theme="1"/>
      <name val="굴림"/>
      <family val="3"/>
      <charset val="129"/>
    </font>
    <font>
      <b/>
      <sz val="12"/>
      <color theme="1"/>
      <name val="굴림"/>
      <family val="3"/>
      <charset val="129"/>
    </font>
    <font>
      <sz val="1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22"/>
      <color theme="1"/>
      <name val="맑은 고딕"/>
      <family val="3"/>
      <charset val="129"/>
      <scheme val="minor"/>
    </font>
    <font>
      <sz val="22"/>
      <color theme="1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8"/>
      <name val="돋움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>
      <alignment vertical="center"/>
    </xf>
    <xf numFmtId="0" fontId="1" fillId="0" borderId="0">
      <alignment vertical="center"/>
    </xf>
    <xf numFmtId="0" fontId="3" fillId="0" borderId="0" applyNumberFormat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46">
    <xf numFmtId="0" fontId="0" fillId="0" borderId="0" xfId="0">
      <alignment vertical="center"/>
    </xf>
    <xf numFmtId="0" fontId="4" fillId="0" borderId="0" xfId="10">
      <alignment vertical="center"/>
    </xf>
    <xf numFmtId="0" fontId="10" fillId="0" borderId="0" xfId="10" applyFont="1">
      <alignment vertical="center"/>
    </xf>
    <xf numFmtId="177" fontId="12" fillId="2" borderId="2" xfId="10" applyNumberFormat="1" applyFont="1" applyFill="1" applyBorder="1" applyAlignment="1">
      <alignment vertical="center" shrinkToFit="1"/>
    </xf>
    <xf numFmtId="0" fontId="12" fillId="2" borderId="2" xfId="10" applyFont="1" applyFill="1" applyBorder="1" applyAlignment="1">
      <alignment horizontal="centerContinuous" vertical="center" shrinkToFit="1"/>
    </xf>
    <xf numFmtId="0" fontId="12" fillId="2" borderId="2" xfId="10" applyFont="1" applyFill="1" applyBorder="1" applyAlignment="1">
      <alignment horizontal="centerContinuous" vertical="center"/>
    </xf>
    <xf numFmtId="177" fontId="6" fillId="0" borderId="5" xfId="11" applyNumberFormat="1" applyFont="1" applyBorder="1" applyAlignment="1">
      <alignment vertical="center" shrinkToFit="1"/>
    </xf>
    <xf numFmtId="0" fontId="6" fillId="0" borderId="6" xfId="10" applyFont="1" applyBorder="1" applyAlignment="1">
      <alignment horizontal="left" vertical="center" shrinkToFit="1"/>
    </xf>
    <xf numFmtId="0" fontId="6" fillId="0" borderId="7" xfId="10" applyFont="1" applyBorder="1" applyAlignment="1">
      <alignment horizontal="left" vertical="center"/>
    </xf>
    <xf numFmtId="0" fontId="6" fillId="0" borderId="8" xfId="10" applyFont="1" applyBorder="1" applyAlignment="1">
      <alignment horizontal="left" vertical="center"/>
    </xf>
    <xf numFmtId="177" fontId="12" fillId="3" borderId="5" xfId="11" applyNumberFormat="1" applyFont="1" applyFill="1" applyBorder="1" applyAlignment="1">
      <alignment vertical="center" shrinkToFit="1"/>
    </xf>
    <xf numFmtId="0" fontId="12" fillId="3" borderId="5" xfId="10" applyFont="1" applyFill="1" applyBorder="1" applyAlignment="1">
      <alignment horizontal="left" vertical="center" shrinkToFit="1"/>
    </xf>
    <xf numFmtId="0" fontId="12" fillId="3" borderId="5" xfId="10" applyFont="1" applyFill="1" applyBorder="1" applyAlignment="1">
      <alignment horizontal="left" vertical="center"/>
    </xf>
    <xf numFmtId="176" fontId="11" fillId="4" borderId="5" xfId="11" applyNumberFormat="1" applyFont="1" applyFill="1" applyBorder="1" applyAlignment="1">
      <alignment vertical="center" wrapText="1"/>
    </xf>
    <xf numFmtId="177" fontId="12" fillId="4" borderId="5" xfId="11" applyNumberFormat="1" applyFont="1" applyFill="1" applyBorder="1" applyAlignment="1">
      <alignment vertical="center" shrinkToFit="1"/>
    </xf>
    <xf numFmtId="0" fontId="12" fillId="4" borderId="5" xfId="10" applyFont="1" applyFill="1" applyBorder="1" applyAlignment="1">
      <alignment horizontal="left" vertical="center" shrinkToFit="1"/>
    </xf>
    <xf numFmtId="0" fontId="12" fillId="4" borderId="5" xfId="10" applyFont="1" applyFill="1" applyBorder="1" applyAlignment="1">
      <alignment horizontal="left" vertical="center"/>
    </xf>
    <xf numFmtId="0" fontId="12" fillId="4" borderId="9" xfId="10" applyFont="1" applyFill="1" applyBorder="1" applyAlignment="1">
      <alignment horizontal="left" vertical="center"/>
    </xf>
    <xf numFmtId="0" fontId="6" fillId="0" borderId="5" xfId="10" applyFont="1" applyBorder="1" applyAlignment="1">
      <alignment horizontal="left" vertical="center" shrinkToFit="1"/>
    </xf>
    <xf numFmtId="0" fontId="6" fillId="0" borderId="10" xfId="10" applyFont="1" applyBorder="1" applyAlignment="1">
      <alignment horizontal="left" vertical="center" shrinkToFit="1"/>
    </xf>
    <xf numFmtId="177" fontId="12" fillId="4" borderId="10" xfId="11" applyNumberFormat="1" applyFont="1" applyFill="1" applyBorder="1" applyAlignment="1">
      <alignment vertical="center" shrinkToFit="1"/>
    </xf>
    <xf numFmtId="0" fontId="12" fillId="4" borderId="10" xfId="10" applyFont="1" applyFill="1" applyBorder="1" applyAlignment="1">
      <alignment horizontal="left" vertical="center" shrinkToFit="1"/>
    </xf>
    <xf numFmtId="0" fontId="12" fillId="4" borderId="10" xfId="10" applyFont="1" applyFill="1" applyBorder="1" applyAlignment="1">
      <alignment horizontal="left" vertical="center"/>
    </xf>
    <xf numFmtId="0" fontId="12" fillId="4" borderId="12" xfId="10" applyFont="1" applyFill="1" applyBorder="1" applyAlignment="1">
      <alignment horizontal="left" vertical="center"/>
    </xf>
    <xf numFmtId="0" fontId="4" fillId="0" borderId="0" xfId="10" applyBorder="1">
      <alignment vertical="center"/>
    </xf>
    <xf numFmtId="177" fontId="4" fillId="0" borderId="0" xfId="10" applyNumberFormat="1" applyBorder="1">
      <alignment vertical="center"/>
    </xf>
    <xf numFmtId="0" fontId="4" fillId="0" borderId="14" xfId="10" applyBorder="1">
      <alignment vertical="center"/>
    </xf>
    <xf numFmtId="0" fontId="6" fillId="0" borderId="15" xfId="10" applyFont="1" applyBorder="1" applyAlignment="1">
      <alignment horizontal="left" vertical="center"/>
    </xf>
    <xf numFmtId="0" fontId="6" fillId="0" borderId="16" xfId="10" applyFont="1" applyBorder="1" applyAlignment="1">
      <alignment horizontal="left" vertical="center"/>
    </xf>
    <xf numFmtId="177" fontId="7" fillId="0" borderId="17" xfId="11" applyNumberFormat="1" applyFont="1" applyBorder="1" applyAlignment="1">
      <alignment vertical="center"/>
    </xf>
    <xf numFmtId="176" fontId="7" fillId="0" borderId="7" xfId="11" applyNumberFormat="1" applyFont="1" applyBorder="1" applyAlignment="1">
      <alignment vertical="center" wrapText="1"/>
    </xf>
    <xf numFmtId="177" fontId="6" fillId="0" borderId="7" xfId="11" applyNumberFormat="1" applyFont="1" applyBorder="1" applyAlignment="1">
      <alignment vertical="center" shrinkToFit="1"/>
    </xf>
    <xf numFmtId="0" fontId="6" fillId="0" borderId="7" xfId="10" applyFont="1" applyBorder="1" applyAlignment="1">
      <alignment horizontal="left" vertical="center" shrinkToFit="1"/>
    </xf>
    <xf numFmtId="177" fontId="7" fillId="0" borderId="17" xfId="11" applyNumberFormat="1" applyFont="1" applyBorder="1" applyAlignment="1">
      <alignment vertical="center" wrapText="1"/>
    </xf>
    <xf numFmtId="177" fontId="7" fillId="0" borderId="18" xfId="11" applyNumberFormat="1" applyFont="1" applyBorder="1" applyAlignment="1">
      <alignment vertical="center"/>
    </xf>
    <xf numFmtId="176" fontId="11" fillId="0" borderId="6" xfId="11" applyNumberFormat="1" applyFont="1" applyBorder="1" applyAlignment="1">
      <alignment vertical="center" wrapText="1"/>
    </xf>
    <xf numFmtId="0" fontId="7" fillId="0" borderId="7" xfId="2" applyFont="1" applyBorder="1" applyAlignment="1">
      <alignment horizontal="left" vertical="center" shrinkToFit="1"/>
    </xf>
    <xf numFmtId="0" fontId="1" fillId="0" borderId="0" xfId="12">
      <alignment vertical="center"/>
    </xf>
    <xf numFmtId="177" fontId="7" fillId="0" borderId="17" xfId="8" applyNumberFormat="1" applyFont="1" applyBorder="1" applyAlignment="1">
      <alignment vertical="center"/>
    </xf>
    <xf numFmtId="0" fontId="6" fillId="0" borderId="7" xfId="2" applyFont="1" applyBorder="1" applyAlignment="1">
      <alignment horizontal="left" vertical="center" shrinkToFit="1"/>
    </xf>
    <xf numFmtId="177" fontId="6" fillId="0" borderId="7" xfId="8" applyNumberFormat="1" applyFont="1" applyBorder="1" applyAlignment="1">
      <alignment vertical="center"/>
    </xf>
    <xf numFmtId="0" fontId="6" fillId="0" borderId="7" xfId="12" applyFont="1" applyBorder="1" applyAlignment="1">
      <alignment horizontal="left" vertical="center"/>
    </xf>
    <xf numFmtId="0" fontId="6" fillId="0" borderId="8" xfId="12" applyFont="1" applyBorder="1" applyAlignment="1">
      <alignment horizontal="left" vertical="center"/>
    </xf>
    <xf numFmtId="177" fontId="7" fillId="0" borderId="17" xfId="11" applyNumberFormat="1" applyFont="1" applyFill="1" applyBorder="1" applyAlignment="1">
      <alignment vertical="center"/>
    </xf>
    <xf numFmtId="177" fontId="7" fillId="0" borderId="11" xfId="11" applyNumberFormat="1" applyFont="1" applyBorder="1" applyAlignment="1">
      <alignment vertical="center"/>
    </xf>
    <xf numFmtId="0" fontId="7" fillId="0" borderId="10" xfId="3" applyFont="1" applyBorder="1">
      <alignment vertical="center"/>
    </xf>
    <xf numFmtId="0" fontId="7" fillId="0" borderId="7" xfId="3" applyFont="1" applyBorder="1">
      <alignment vertical="center"/>
    </xf>
    <xf numFmtId="177" fontId="6" fillId="0" borderId="6" xfId="11" applyNumberFormat="1" applyFont="1" applyBorder="1" applyAlignment="1">
      <alignment vertical="center" shrinkToFit="1"/>
    </xf>
    <xf numFmtId="177" fontId="6" fillId="0" borderId="10" xfId="11" applyNumberFormat="1" applyFont="1" applyBorder="1" applyAlignment="1">
      <alignment vertical="center" shrinkToFit="1"/>
    </xf>
    <xf numFmtId="176" fontId="7" fillId="0" borderId="10" xfId="11" applyNumberFormat="1" applyFont="1" applyBorder="1" applyAlignment="1">
      <alignment vertical="center" wrapText="1"/>
    </xf>
    <xf numFmtId="177" fontId="13" fillId="4" borderId="5" xfId="11" applyNumberFormat="1" applyFont="1" applyFill="1" applyBorder="1" applyAlignment="1">
      <alignment vertical="center" shrinkToFit="1"/>
    </xf>
    <xf numFmtId="0" fontId="4" fillId="0" borderId="0" xfId="10" applyFont="1">
      <alignment vertical="center"/>
    </xf>
    <xf numFmtId="177" fontId="6" fillId="0" borderId="17" xfId="11" applyNumberFormat="1" applyFont="1" applyBorder="1" applyAlignment="1">
      <alignment vertical="center"/>
    </xf>
    <xf numFmtId="177" fontId="6" fillId="0" borderId="22" xfId="11" applyNumberFormat="1" applyFont="1" applyBorder="1" applyAlignment="1">
      <alignment vertical="center" shrinkToFit="1"/>
    </xf>
    <xf numFmtId="176" fontId="6" fillId="0" borderId="7" xfId="11" applyNumberFormat="1" applyFont="1" applyBorder="1" applyAlignment="1">
      <alignment vertical="center" wrapText="1"/>
    </xf>
    <xf numFmtId="176" fontId="7" fillId="0" borderId="7" xfId="11" applyNumberFormat="1" applyFont="1" applyFill="1" applyBorder="1" applyAlignment="1">
      <alignment vertical="center" wrapText="1"/>
    </xf>
    <xf numFmtId="177" fontId="7" fillId="0" borderId="11" xfId="11" applyNumberFormat="1" applyFont="1" applyFill="1" applyBorder="1" applyAlignment="1">
      <alignment vertical="center"/>
    </xf>
    <xf numFmtId="176" fontId="7" fillId="0" borderId="10" xfId="11" applyNumberFormat="1" applyFont="1" applyFill="1" applyBorder="1" applyAlignment="1">
      <alignment vertical="center" wrapText="1"/>
    </xf>
    <xf numFmtId="0" fontId="12" fillId="3" borderId="10" xfId="10" applyFont="1" applyFill="1" applyBorder="1" applyAlignment="1">
      <alignment horizontal="left" vertical="center" shrinkToFit="1"/>
    </xf>
    <xf numFmtId="0" fontId="12" fillId="3" borderId="10" xfId="10" applyFont="1" applyFill="1" applyBorder="1" applyAlignment="1">
      <alignment horizontal="left" vertical="center"/>
    </xf>
    <xf numFmtId="176" fontId="11" fillId="3" borderId="18" xfId="11" applyNumberFormat="1" applyFont="1" applyFill="1" applyBorder="1" applyAlignment="1">
      <alignment vertical="center"/>
    </xf>
    <xf numFmtId="176" fontId="11" fillId="3" borderId="6" xfId="11" applyNumberFormat="1" applyFont="1" applyFill="1" applyBorder="1" applyAlignment="1">
      <alignment vertical="center" wrapText="1"/>
    </xf>
    <xf numFmtId="177" fontId="12" fillId="3" borderId="6" xfId="11" applyNumberFormat="1" applyFont="1" applyFill="1" applyBorder="1" applyAlignment="1">
      <alignment vertical="center" shrinkToFit="1"/>
    </xf>
    <xf numFmtId="0" fontId="12" fillId="3" borderId="7" xfId="10" applyFont="1" applyFill="1" applyBorder="1" applyAlignment="1">
      <alignment horizontal="left" vertical="center" shrinkToFit="1"/>
    </xf>
    <xf numFmtId="176" fontId="11" fillId="4" borderId="4" xfId="11" applyNumberFormat="1" applyFont="1" applyFill="1" applyBorder="1" applyAlignment="1">
      <alignment vertical="center"/>
    </xf>
    <xf numFmtId="0" fontId="12" fillId="6" borderId="5" xfId="10" applyFont="1" applyFill="1" applyBorder="1" applyAlignment="1">
      <alignment horizontal="centerContinuous" vertical="center" shrinkToFit="1"/>
    </xf>
    <xf numFmtId="0" fontId="12" fillId="6" borderId="5" xfId="10" applyFont="1" applyFill="1" applyBorder="1" applyAlignment="1">
      <alignment horizontal="centerContinuous" vertical="center"/>
    </xf>
    <xf numFmtId="0" fontId="12" fillId="6" borderId="9" xfId="10" applyFont="1" applyFill="1" applyBorder="1" applyAlignment="1">
      <alignment horizontal="centerContinuous" vertical="center"/>
    </xf>
    <xf numFmtId="0" fontId="12" fillId="6" borderId="25" xfId="10" applyFont="1" applyFill="1" applyBorder="1" applyAlignment="1">
      <alignment horizontal="centerContinuous" vertical="center" shrinkToFit="1"/>
    </xf>
    <xf numFmtId="0" fontId="12" fillId="6" borderId="25" xfId="10" applyFont="1" applyFill="1" applyBorder="1" applyAlignment="1">
      <alignment horizontal="centerContinuous" vertical="center"/>
    </xf>
    <xf numFmtId="0" fontId="12" fillId="6" borderId="26" xfId="10" applyFont="1" applyFill="1" applyBorder="1" applyAlignment="1">
      <alignment horizontal="centerContinuous" vertical="center"/>
    </xf>
    <xf numFmtId="0" fontId="14" fillId="0" borderId="0" xfId="1" applyFont="1">
      <alignment vertical="center"/>
    </xf>
    <xf numFmtId="0" fontId="14" fillId="0" borderId="0" xfId="1" applyFont="1" applyAlignment="1">
      <alignment vertical="center" wrapText="1"/>
    </xf>
    <xf numFmtId="0" fontId="1" fillId="0" borderId="0" xfId="1" applyFont="1">
      <alignment vertical="center"/>
    </xf>
    <xf numFmtId="0" fontId="15" fillId="0" borderId="0" xfId="10" applyFont="1" applyBorder="1" applyAlignment="1">
      <alignment horizontal="left" vertical="center"/>
    </xf>
    <xf numFmtId="0" fontId="15" fillId="0" borderId="0" xfId="10" applyFont="1" applyBorder="1" applyAlignment="1">
      <alignment horizontal="center" vertical="center"/>
    </xf>
    <xf numFmtId="0" fontId="1" fillId="0" borderId="0" xfId="15">
      <alignment vertical="center"/>
    </xf>
    <xf numFmtId="0" fontId="15" fillId="0" borderId="0" xfId="15" applyFont="1" applyBorder="1" applyAlignment="1">
      <alignment horizontal="left" vertical="center"/>
    </xf>
    <xf numFmtId="0" fontId="15" fillId="0" borderId="0" xfId="15" applyFont="1" applyBorder="1" applyAlignment="1">
      <alignment horizontal="center" vertical="center"/>
    </xf>
    <xf numFmtId="0" fontId="1" fillId="0" borderId="0" xfId="15" applyFont="1" applyAlignment="1">
      <alignment vertical="center" wrapText="1"/>
    </xf>
    <xf numFmtId="0" fontId="12" fillId="6" borderId="26" xfId="15" applyFont="1" applyFill="1" applyBorder="1" applyAlignment="1">
      <alignment horizontal="centerContinuous" vertical="center"/>
    </xf>
    <xf numFmtId="0" fontId="12" fillId="6" borderId="25" xfId="15" applyFont="1" applyFill="1" applyBorder="1" applyAlignment="1">
      <alignment horizontal="centerContinuous" vertical="center"/>
    </xf>
    <xf numFmtId="0" fontId="1" fillId="0" borderId="0" xfId="15" applyFont="1">
      <alignment vertical="center"/>
    </xf>
    <xf numFmtId="0" fontId="12" fillId="6" borderId="9" xfId="15" applyFont="1" applyFill="1" applyBorder="1" applyAlignment="1">
      <alignment horizontal="centerContinuous" vertical="center"/>
    </xf>
    <xf numFmtId="0" fontId="12" fillId="6" borderId="5" xfId="15" applyFont="1" applyFill="1" applyBorder="1" applyAlignment="1">
      <alignment horizontal="centerContinuous" vertical="center"/>
    </xf>
    <xf numFmtId="0" fontId="12" fillId="4" borderId="9" xfId="15" applyFont="1" applyFill="1" applyBorder="1" applyAlignment="1">
      <alignment horizontal="left" vertical="center"/>
    </xf>
    <xf numFmtId="0" fontId="12" fillId="4" borderId="5" xfId="15" applyFont="1" applyFill="1" applyBorder="1" applyAlignment="1">
      <alignment horizontal="left" vertical="center"/>
    </xf>
    <xf numFmtId="177" fontId="12" fillId="4" borderId="5" xfId="16" applyNumberFormat="1" applyFont="1" applyFill="1" applyBorder="1" applyAlignment="1">
      <alignment vertical="center"/>
    </xf>
    <xf numFmtId="176" fontId="12" fillId="4" borderId="5" xfId="16" applyFont="1" applyFill="1" applyBorder="1" applyAlignment="1">
      <alignment vertical="center"/>
    </xf>
    <xf numFmtId="176" fontId="12" fillId="4" borderId="5" xfId="16" applyFont="1" applyFill="1" applyBorder="1" applyAlignment="1">
      <alignment vertical="center" wrapText="1"/>
    </xf>
    <xf numFmtId="176" fontId="12" fillId="4" borderId="4" xfId="16" applyFont="1" applyFill="1" applyBorder="1" applyAlignment="1">
      <alignment vertical="center"/>
    </xf>
    <xf numFmtId="0" fontId="6" fillId="0" borderId="8" xfId="15" applyFont="1" applyBorder="1" applyAlignment="1">
      <alignment horizontal="left" vertical="center"/>
    </xf>
    <xf numFmtId="0" fontId="12" fillId="3" borderId="10" xfId="15" applyFont="1" applyFill="1" applyBorder="1" applyAlignment="1">
      <alignment horizontal="left" vertical="center"/>
    </xf>
    <xf numFmtId="177" fontId="12" fillId="3" borderId="5" xfId="16" applyNumberFormat="1" applyFont="1" applyFill="1" applyBorder="1" applyAlignment="1">
      <alignment vertical="center"/>
    </xf>
    <xf numFmtId="176" fontId="12" fillId="3" borderId="5" xfId="16" applyFont="1" applyFill="1" applyBorder="1" applyAlignment="1">
      <alignment vertical="center" wrapText="1"/>
    </xf>
    <xf numFmtId="176" fontId="12" fillId="3" borderId="4" xfId="16" applyFont="1" applyFill="1" applyBorder="1" applyAlignment="1">
      <alignment vertical="center"/>
    </xf>
    <xf numFmtId="0" fontId="6" fillId="0" borderId="7" xfId="15" applyFont="1" applyBorder="1" applyAlignment="1">
      <alignment horizontal="left" vertical="center"/>
    </xf>
    <xf numFmtId="0" fontId="6" fillId="0" borderId="6" xfId="15" applyFont="1" applyBorder="1" applyAlignment="1">
      <alignment horizontal="left" vertical="center"/>
    </xf>
    <xf numFmtId="177" fontId="6" fillId="0" borderId="6" xfId="16" applyNumberFormat="1" applyFont="1" applyBorder="1" applyAlignment="1">
      <alignment vertical="center"/>
    </xf>
    <xf numFmtId="0" fontId="6" fillId="0" borderId="6" xfId="2" applyFont="1" applyBorder="1" applyAlignment="1">
      <alignment horizontal="left" vertical="center" shrinkToFit="1"/>
    </xf>
    <xf numFmtId="177" fontId="6" fillId="0" borderId="18" xfId="16" applyNumberFormat="1" applyFont="1" applyBorder="1" applyAlignment="1">
      <alignment vertical="center"/>
    </xf>
    <xf numFmtId="177" fontId="6" fillId="0" borderId="7" xfId="16" applyNumberFormat="1" applyFont="1" applyBorder="1" applyAlignment="1">
      <alignment vertical="center"/>
    </xf>
    <xf numFmtId="177" fontId="6" fillId="0" borderId="17" xfId="16" applyNumberFormat="1" applyFont="1" applyBorder="1" applyAlignment="1">
      <alignment vertical="center"/>
    </xf>
    <xf numFmtId="0" fontId="6" fillId="0" borderId="10" xfId="2" applyFont="1" applyBorder="1" applyAlignment="1">
      <alignment horizontal="left" vertical="center" shrinkToFit="1"/>
    </xf>
    <xf numFmtId="177" fontId="6" fillId="0" borderId="11" xfId="16" applyNumberFormat="1" applyFont="1" applyBorder="1" applyAlignment="1">
      <alignment vertical="center"/>
    </xf>
    <xf numFmtId="0" fontId="12" fillId="5" borderId="5" xfId="2" applyFont="1" applyFill="1" applyBorder="1" applyAlignment="1">
      <alignment horizontal="left" vertical="center" shrinkToFit="1"/>
    </xf>
    <xf numFmtId="177" fontId="12" fillId="5" borderId="4" xfId="16" applyNumberFormat="1" applyFont="1" applyFill="1" applyBorder="1" applyAlignment="1">
      <alignment vertical="center"/>
    </xf>
    <xf numFmtId="0" fontId="6" fillId="0" borderId="10" xfId="15" applyFont="1" applyBorder="1" applyAlignment="1">
      <alignment horizontal="left" vertical="center"/>
    </xf>
    <xf numFmtId="177" fontId="6" fillId="0" borderId="10" xfId="16" applyNumberFormat="1" applyFont="1" applyBorder="1" applyAlignment="1">
      <alignment vertical="center"/>
    </xf>
    <xf numFmtId="0" fontId="12" fillId="3" borderId="5" xfId="15" applyFont="1" applyFill="1" applyBorder="1" applyAlignment="1">
      <alignment horizontal="left" vertical="center"/>
    </xf>
    <xf numFmtId="177" fontId="12" fillId="3" borderId="4" xfId="16" applyNumberFormat="1" applyFont="1" applyFill="1" applyBorder="1" applyAlignment="1">
      <alignment vertical="center"/>
    </xf>
    <xf numFmtId="0" fontId="6" fillId="0" borderId="5" xfId="15" applyFont="1" applyBorder="1" applyAlignment="1">
      <alignment horizontal="left" vertical="center"/>
    </xf>
    <xf numFmtId="177" fontId="6" fillId="0" borderId="5" xfId="16" applyNumberFormat="1" applyFont="1" applyBorder="1" applyAlignment="1">
      <alignment vertical="center"/>
    </xf>
    <xf numFmtId="176" fontId="6" fillId="0" borderId="5" xfId="16" applyFont="1" applyBorder="1" applyAlignment="1">
      <alignment vertical="center" wrapText="1"/>
    </xf>
    <xf numFmtId="177" fontId="6" fillId="0" borderId="4" xfId="16" applyNumberFormat="1" applyFont="1" applyBorder="1" applyAlignment="1">
      <alignment vertical="center"/>
    </xf>
    <xf numFmtId="176" fontId="12" fillId="3" borderId="6" xfId="16" applyFont="1" applyFill="1" applyBorder="1" applyAlignment="1">
      <alignment vertical="center" wrapText="1"/>
    </xf>
    <xf numFmtId="177" fontId="12" fillId="3" borderId="18" xfId="16" applyNumberFormat="1" applyFont="1" applyFill="1" applyBorder="1" applyAlignment="1">
      <alignment vertical="center"/>
    </xf>
    <xf numFmtId="0" fontId="6" fillId="0" borderId="6" xfId="3" applyFont="1" applyBorder="1">
      <alignment vertical="center"/>
    </xf>
    <xf numFmtId="0" fontId="6" fillId="0" borderId="7" xfId="3" applyFont="1" applyBorder="1">
      <alignment vertical="center"/>
    </xf>
    <xf numFmtId="0" fontId="6" fillId="0" borderId="10" xfId="3" applyFont="1" applyBorder="1">
      <alignment vertical="center"/>
    </xf>
    <xf numFmtId="0" fontId="6" fillId="0" borderId="27" xfId="2" applyFont="1" applyBorder="1" applyAlignment="1">
      <alignment horizontal="left" vertical="center" shrinkToFit="1"/>
    </xf>
    <xf numFmtId="177" fontId="6" fillId="0" borderId="28" xfId="16" applyNumberFormat="1" applyFont="1" applyBorder="1" applyAlignment="1">
      <alignment vertical="center"/>
    </xf>
    <xf numFmtId="177" fontId="6" fillId="0" borderId="0" xfId="11" applyNumberFormat="1" applyFont="1" applyBorder="1" applyAlignment="1">
      <alignment vertical="center"/>
    </xf>
    <xf numFmtId="176" fontId="12" fillId="4" borderId="10" xfId="16" applyFont="1" applyFill="1" applyBorder="1" applyAlignment="1">
      <alignment vertical="center" wrapText="1"/>
    </xf>
    <xf numFmtId="177" fontId="12" fillId="4" borderId="11" xfId="16" applyNumberFormat="1" applyFont="1" applyFill="1" applyBorder="1" applyAlignment="1">
      <alignment vertical="center"/>
    </xf>
    <xf numFmtId="177" fontId="6" fillId="0" borderId="7" xfId="16" applyNumberFormat="1" applyFont="1" applyBorder="1" applyAlignment="1">
      <alignment horizontal="right" vertical="center"/>
    </xf>
    <xf numFmtId="0" fontId="6" fillId="0" borderId="7" xfId="2" applyFont="1" applyBorder="1" applyAlignment="1">
      <alignment horizontal="center" vertical="center" shrinkToFit="1"/>
    </xf>
    <xf numFmtId="177" fontId="6" fillId="0" borderId="17" xfId="16" applyNumberFormat="1" applyFont="1" applyBorder="1" applyAlignment="1">
      <alignment horizontal="right" vertical="center"/>
    </xf>
    <xf numFmtId="0" fontId="6" fillId="0" borderId="7" xfId="2" applyFont="1" applyFill="1" applyBorder="1" applyAlignment="1">
      <alignment horizontal="left" vertical="center" shrinkToFit="1"/>
    </xf>
    <xf numFmtId="177" fontId="6" fillId="0" borderId="17" xfId="16" applyNumberFormat="1" applyFont="1" applyFill="1" applyBorder="1" applyAlignment="1">
      <alignment vertical="center"/>
    </xf>
    <xf numFmtId="177" fontId="6" fillId="0" borderId="5" xfId="16" applyNumberFormat="1" applyFont="1" applyBorder="1" applyAlignment="1">
      <alignment horizontal="right" vertical="center"/>
    </xf>
    <xf numFmtId="176" fontId="6" fillId="0" borderId="5" xfId="16" applyFont="1" applyBorder="1" applyAlignment="1">
      <alignment horizontal="center" vertical="center" wrapText="1"/>
    </xf>
    <xf numFmtId="177" fontId="6" fillId="0" borderId="4" xfId="16" applyNumberFormat="1" applyFont="1" applyBorder="1" applyAlignment="1">
      <alignment horizontal="right" vertical="center"/>
    </xf>
    <xf numFmtId="177" fontId="12" fillId="4" borderId="4" xfId="16" applyNumberFormat="1" applyFont="1" applyFill="1" applyBorder="1" applyAlignment="1">
      <alignment vertical="center"/>
    </xf>
    <xf numFmtId="176" fontId="6" fillId="0" borderId="6" xfId="16" applyFont="1" applyBorder="1" applyAlignment="1">
      <alignment vertical="center"/>
    </xf>
    <xf numFmtId="176" fontId="6" fillId="0" borderId="7" xfId="16" applyFont="1" applyBorder="1" applyAlignment="1">
      <alignment vertical="center"/>
    </xf>
    <xf numFmtId="176" fontId="6" fillId="0" borderId="5" xfId="16" applyFont="1" applyBorder="1" applyAlignment="1">
      <alignment horizontal="left" vertical="center" wrapText="1"/>
    </xf>
    <xf numFmtId="0" fontId="12" fillId="2" borderId="3" xfId="15" applyFont="1" applyFill="1" applyBorder="1" applyAlignment="1">
      <alignment horizontal="centerContinuous" vertical="center"/>
    </xf>
    <xf numFmtId="0" fontId="12" fillId="2" borderId="2" xfId="15" applyFont="1" applyFill="1" applyBorder="1" applyAlignment="1">
      <alignment horizontal="centerContinuous" vertical="center"/>
    </xf>
    <xf numFmtId="177" fontId="12" fillId="2" borderId="2" xfId="15" applyNumberFormat="1" applyFont="1" applyFill="1" applyBorder="1" applyAlignment="1">
      <alignment vertical="center"/>
    </xf>
    <xf numFmtId="176" fontId="12" fillId="2" borderId="2" xfId="15" applyNumberFormat="1" applyFont="1" applyFill="1" applyBorder="1" applyAlignment="1">
      <alignment vertical="center" wrapText="1"/>
    </xf>
    <xf numFmtId="177" fontId="12" fillId="2" borderId="1" xfId="15" applyNumberFormat="1" applyFont="1" applyFill="1" applyBorder="1" applyAlignment="1">
      <alignment vertical="center"/>
    </xf>
    <xf numFmtId="0" fontId="15" fillId="0" borderId="0" xfId="15" applyFont="1" applyFill="1" applyBorder="1" applyAlignment="1">
      <alignment horizontal="centerContinuous" vertical="center"/>
    </xf>
    <xf numFmtId="44" fontId="1" fillId="0" borderId="0" xfId="15" applyNumberFormat="1">
      <alignment vertical="center"/>
    </xf>
    <xf numFmtId="0" fontId="1" fillId="0" borderId="0" xfId="15" applyAlignment="1">
      <alignment vertical="center"/>
    </xf>
    <xf numFmtId="3" fontId="1" fillId="0" borderId="0" xfId="15" applyNumberFormat="1" applyAlignment="1">
      <alignment horizontal="right" vertical="center"/>
    </xf>
    <xf numFmtId="0" fontId="18" fillId="0" borderId="0" xfId="10" applyFont="1">
      <alignment vertical="center"/>
    </xf>
    <xf numFmtId="41" fontId="20" fillId="0" borderId="0" xfId="14" applyFont="1">
      <alignment vertical="center"/>
    </xf>
    <xf numFmtId="0" fontId="6" fillId="0" borderId="15" xfId="10" applyFont="1" applyBorder="1" applyAlignment="1">
      <alignment horizontal="left" vertical="center" shrinkToFit="1"/>
    </xf>
    <xf numFmtId="177" fontId="6" fillId="0" borderId="15" xfId="11" applyNumberFormat="1" applyFont="1" applyBorder="1" applyAlignment="1">
      <alignment vertical="center" shrinkToFit="1"/>
    </xf>
    <xf numFmtId="41" fontId="4" fillId="0" borderId="0" xfId="10" applyNumberFormat="1" applyAlignment="1">
      <alignment vertical="center"/>
    </xf>
    <xf numFmtId="176" fontId="19" fillId="0" borderId="5" xfId="16" applyFont="1" applyFill="1" applyBorder="1" applyAlignment="1">
      <alignment vertical="center" wrapText="1"/>
    </xf>
    <xf numFmtId="177" fontId="6" fillId="0" borderId="4" xfId="16" applyNumberFormat="1" applyFont="1" applyFill="1" applyBorder="1" applyAlignment="1">
      <alignment vertical="center"/>
    </xf>
    <xf numFmtId="41" fontId="21" fillId="0" borderId="0" xfId="14" applyFont="1">
      <alignment vertical="center"/>
    </xf>
    <xf numFmtId="0" fontId="8" fillId="0" borderId="8" xfId="10" applyFont="1" applyBorder="1" applyAlignment="1">
      <alignment horizontal="left" vertical="center"/>
    </xf>
    <xf numFmtId="0" fontId="8" fillId="0" borderId="7" xfId="10" applyFont="1" applyBorder="1" applyAlignment="1">
      <alignment horizontal="left" vertical="center"/>
    </xf>
    <xf numFmtId="0" fontId="8" fillId="0" borderId="7" xfId="10" applyFont="1" applyBorder="1" applyAlignment="1">
      <alignment horizontal="left" vertical="center" shrinkToFit="1"/>
    </xf>
    <xf numFmtId="177" fontId="8" fillId="0" borderId="7" xfId="11" applyNumberFormat="1" applyFont="1" applyBorder="1" applyAlignment="1">
      <alignment vertical="center" shrinkToFit="1"/>
    </xf>
    <xf numFmtId="0" fontId="7" fillId="0" borderId="7" xfId="3" applyFont="1" applyBorder="1" applyAlignment="1">
      <alignment vertical="center" wrapText="1"/>
    </xf>
    <xf numFmtId="0" fontId="7" fillId="0" borderId="7" xfId="3" applyFont="1" applyFill="1" applyBorder="1" applyAlignment="1">
      <alignment vertical="center" wrapText="1"/>
    </xf>
    <xf numFmtId="176" fontId="7" fillId="0" borderId="0" xfId="11" applyNumberFormat="1" applyFont="1" applyBorder="1" applyAlignment="1">
      <alignment vertical="center" wrapText="1"/>
    </xf>
    <xf numFmtId="177" fontId="7" fillId="0" borderId="0" xfId="11" applyNumberFormat="1" applyFont="1" applyBorder="1" applyAlignment="1">
      <alignment vertical="center"/>
    </xf>
    <xf numFmtId="177" fontId="7" fillId="0" borderId="21" xfId="11" applyNumberFormat="1" applyFont="1" applyBorder="1" applyAlignment="1">
      <alignment vertical="center"/>
    </xf>
    <xf numFmtId="177" fontId="8" fillId="0" borderId="22" xfId="11" applyNumberFormat="1" applyFont="1" applyBorder="1" applyAlignment="1">
      <alignment vertical="center" shrinkToFit="1"/>
    </xf>
    <xf numFmtId="176" fontId="11" fillId="0" borderId="7" xfId="11" applyNumberFormat="1" applyFont="1" applyBorder="1" applyAlignment="1">
      <alignment vertical="center" wrapText="1"/>
    </xf>
    <xf numFmtId="176" fontId="11" fillId="5" borderId="5" xfId="11" applyNumberFormat="1" applyFont="1" applyFill="1" applyBorder="1" applyAlignment="1">
      <alignment vertical="center" wrapText="1"/>
    </xf>
    <xf numFmtId="177" fontId="11" fillId="5" borderId="4" xfId="11" applyNumberFormat="1" applyFont="1" applyFill="1" applyBorder="1" applyAlignment="1">
      <alignment vertical="center"/>
    </xf>
    <xf numFmtId="176" fontId="11" fillId="5" borderId="10" xfId="11" applyNumberFormat="1" applyFont="1" applyFill="1" applyBorder="1" applyAlignment="1">
      <alignment vertical="center" wrapText="1"/>
    </xf>
    <xf numFmtId="177" fontId="11" fillId="5" borderId="11" xfId="11" applyNumberFormat="1" applyFont="1" applyFill="1" applyBorder="1" applyAlignment="1">
      <alignment vertical="center"/>
    </xf>
    <xf numFmtId="176" fontId="11" fillId="3" borderId="5" xfId="11" applyNumberFormat="1" applyFont="1" applyFill="1" applyBorder="1" applyAlignment="1">
      <alignment vertical="center" wrapText="1"/>
    </xf>
    <xf numFmtId="177" fontId="11" fillId="3" borderId="4" xfId="11" applyNumberFormat="1" applyFont="1" applyFill="1" applyBorder="1" applyAlignment="1">
      <alignment vertical="center"/>
    </xf>
    <xf numFmtId="176" fontId="7" fillId="0" borderId="7" xfId="11" applyNumberFormat="1" applyFont="1" applyFill="1" applyBorder="1" applyAlignment="1">
      <alignment vertical="center" shrinkToFit="1"/>
    </xf>
    <xf numFmtId="176" fontId="7" fillId="0" borderId="5" xfId="11" applyNumberFormat="1" applyFont="1" applyBorder="1" applyAlignment="1">
      <alignment vertical="center" wrapText="1"/>
    </xf>
    <xf numFmtId="177" fontId="7" fillId="0" borderId="4" xfId="11" applyNumberFormat="1" applyFont="1" applyBorder="1" applyAlignment="1">
      <alignment vertical="center"/>
    </xf>
    <xf numFmtId="177" fontId="11" fillId="4" borderId="4" xfId="11" applyNumberFormat="1" applyFont="1" applyFill="1" applyBorder="1" applyAlignment="1">
      <alignment vertical="center"/>
    </xf>
    <xf numFmtId="176" fontId="7" fillId="0" borderId="6" xfId="11" applyNumberFormat="1" applyFont="1" applyBorder="1" applyAlignment="1">
      <alignment vertical="center" wrapText="1"/>
    </xf>
    <xf numFmtId="176" fontId="7" fillId="0" borderId="0" xfId="11" applyNumberFormat="1" applyFont="1" applyFill="1" applyBorder="1" applyAlignment="1">
      <alignment vertical="center" wrapText="1"/>
    </xf>
    <xf numFmtId="177" fontId="7" fillId="0" borderId="0" xfId="11" applyNumberFormat="1" applyFont="1" applyFill="1" applyBorder="1" applyAlignment="1">
      <alignment vertical="center"/>
    </xf>
    <xf numFmtId="0" fontId="10" fillId="0" borderId="14" xfId="10" applyFont="1" applyBorder="1">
      <alignment vertical="center"/>
    </xf>
    <xf numFmtId="176" fontId="11" fillId="0" borderId="7" xfId="11" applyNumberFormat="1" applyFont="1" applyFill="1" applyBorder="1" applyAlignment="1">
      <alignment vertical="center" wrapText="1"/>
    </xf>
    <xf numFmtId="176" fontId="11" fillId="0" borderId="6" xfId="11" applyNumberFormat="1" applyFont="1" applyBorder="1" applyAlignment="1">
      <alignment vertical="center" shrinkToFit="1"/>
    </xf>
    <xf numFmtId="176" fontId="7" fillId="0" borderId="10" xfId="11" applyNumberFormat="1" applyFont="1" applyFill="1" applyBorder="1" applyAlignment="1">
      <alignment vertical="center" shrinkToFit="1"/>
    </xf>
    <xf numFmtId="177" fontId="7" fillId="0" borderId="21" xfId="11" applyNumberFormat="1" applyFont="1" applyFill="1" applyBorder="1" applyAlignment="1">
      <alignment vertical="center" wrapText="1"/>
    </xf>
    <xf numFmtId="178" fontId="14" fillId="0" borderId="0" xfId="13" applyNumberFormat="1" applyFont="1">
      <alignment vertical="center"/>
    </xf>
    <xf numFmtId="176" fontId="11" fillId="5" borderId="6" xfId="11" applyNumberFormat="1" applyFont="1" applyFill="1" applyBorder="1" applyAlignment="1">
      <alignment vertical="center" wrapText="1"/>
    </xf>
    <xf numFmtId="177" fontId="11" fillId="5" borderId="18" xfId="11" applyNumberFormat="1" applyFont="1" applyFill="1" applyBorder="1" applyAlignment="1">
      <alignment vertical="center"/>
    </xf>
    <xf numFmtId="176" fontId="11" fillId="0" borderId="20" xfId="11" applyNumberFormat="1" applyFont="1" applyBorder="1" applyAlignment="1">
      <alignment vertical="center" wrapText="1"/>
    </xf>
    <xf numFmtId="177" fontId="7" fillId="0" borderId="19" xfId="11" applyNumberFormat="1" applyFont="1" applyBorder="1" applyAlignment="1">
      <alignment vertical="center"/>
    </xf>
    <xf numFmtId="176" fontId="11" fillId="5" borderId="2" xfId="11" applyNumberFormat="1" applyFont="1" applyFill="1" applyBorder="1" applyAlignment="1">
      <alignment vertical="center" wrapText="1"/>
    </xf>
    <xf numFmtId="177" fontId="11" fillId="5" borderId="1" xfId="11" applyNumberFormat="1" applyFont="1" applyFill="1" applyBorder="1" applyAlignment="1">
      <alignment vertical="center"/>
    </xf>
    <xf numFmtId="176" fontId="11" fillId="4" borderId="10" xfId="11" applyNumberFormat="1" applyFont="1" applyFill="1" applyBorder="1" applyAlignment="1">
      <alignment vertical="center" wrapText="1"/>
    </xf>
    <xf numFmtId="177" fontId="11" fillId="4" borderId="11" xfId="11" applyNumberFormat="1" applyFont="1" applyFill="1" applyBorder="1" applyAlignment="1">
      <alignment vertical="center"/>
    </xf>
    <xf numFmtId="176" fontId="7" fillId="0" borderId="5" xfId="11" applyNumberFormat="1" applyFont="1" applyFill="1" applyBorder="1" applyAlignment="1">
      <alignment vertical="center" wrapText="1"/>
    </xf>
    <xf numFmtId="177" fontId="7" fillId="0" borderId="4" xfId="11" applyNumberFormat="1" applyFont="1" applyFill="1" applyBorder="1" applyAlignment="1">
      <alignment vertical="center"/>
    </xf>
    <xf numFmtId="0" fontId="10" fillId="0" borderId="0" xfId="10" applyFont="1" applyBorder="1">
      <alignment vertical="center"/>
    </xf>
    <xf numFmtId="0" fontId="10" fillId="0" borderId="13" xfId="10" applyFont="1" applyBorder="1">
      <alignment vertical="center"/>
    </xf>
    <xf numFmtId="176" fontId="11" fillId="2" borderId="2" xfId="10" applyNumberFormat="1" applyFont="1" applyFill="1" applyBorder="1" applyAlignment="1">
      <alignment vertical="center" wrapText="1"/>
    </xf>
    <xf numFmtId="177" fontId="11" fillId="2" borderId="1" xfId="10" applyNumberFormat="1" applyFont="1" applyFill="1" applyBorder="1" applyAlignment="1">
      <alignment vertical="center"/>
    </xf>
    <xf numFmtId="44" fontId="10" fillId="0" borderId="0" xfId="10" applyNumberFormat="1" applyFont="1">
      <alignment vertical="center"/>
    </xf>
    <xf numFmtId="0" fontId="7" fillId="0" borderId="6" xfId="2" applyFont="1" applyBorder="1" applyAlignment="1">
      <alignment horizontal="left" vertical="center" shrinkToFit="1"/>
    </xf>
    <xf numFmtId="177" fontId="7" fillId="0" borderId="18" xfId="16" applyNumberFormat="1" applyFont="1" applyBorder="1" applyAlignment="1">
      <alignment vertical="center"/>
    </xf>
    <xf numFmtId="177" fontId="7" fillId="0" borderId="17" xfId="16" applyNumberFormat="1" applyFont="1" applyBorder="1" applyAlignment="1">
      <alignment vertical="center"/>
    </xf>
    <xf numFmtId="0" fontId="7" fillId="0" borderId="10" xfId="2" applyFont="1" applyBorder="1" applyAlignment="1">
      <alignment horizontal="left" vertical="center" shrinkToFit="1"/>
    </xf>
    <xf numFmtId="177" fontId="7" fillId="0" borderId="11" xfId="16" applyNumberFormat="1" applyFont="1" applyBorder="1" applyAlignment="1">
      <alignment vertical="center"/>
    </xf>
    <xf numFmtId="0" fontId="1" fillId="0" borderId="31" xfId="17" applyBorder="1">
      <alignment vertical="center"/>
    </xf>
    <xf numFmtId="0" fontId="4" fillId="0" borderId="30" xfId="17" applyFont="1" applyBorder="1" applyAlignment="1"/>
    <xf numFmtId="0" fontId="4" fillId="0" borderId="32" xfId="17" applyFont="1" applyBorder="1" applyAlignment="1"/>
    <xf numFmtId="0" fontId="1" fillId="0" borderId="0" xfId="17">
      <alignment vertical="center"/>
    </xf>
    <xf numFmtId="0" fontId="4" fillId="0" borderId="14" xfId="17" applyFont="1" applyBorder="1" applyAlignment="1"/>
    <xf numFmtId="0" fontId="4" fillId="0" borderId="0" xfId="17" applyFont="1" applyBorder="1" applyAlignment="1"/>
    <xf numFmtId="0" fontId="22" fillId="0" borderId="0" xfId="17" applyFont="1" applyBorder="1" applyAlignment="1" applyProtection="1">
      <alignment horizontal="center" vertical="center" wrapText="1"/>
      <protection locked="0"/>
    </xf>
    <xf numFmtId="0" fontId="4" fillId="0" borderId="21" xfId="17" applyFont="1" applyBorder="1" applyAlignment="1"/>
    <xf numFmtId="0" fontId="4" fillId="0" borderId="33" xfId="17" applyFont="1" applyBorder="1" applyAlignment="1"/>
    <xf numFmtId="0" fontId="4" fillId="0" borderId="29" xfId="17" applyFont="1" applyBorder="1" applyAlignment="1"/>
    <xf numFmtId="0" fontId="4" fillId="0" borderId="34" xfId="17" applyFont="1" applyBorder="1" applyAlignment="1"/>
    <xf numFmtId="177" fontId="6" fillId="0" borderId="35" xfId="16" applyNumberFormat="1" applyFont="1" applyBorder="1" applyAlignment="1">
      <alignment vertical="center"/>
    </xf>
    <xf numFmtId="177" fontId="6" fillId="0" borderId="22" xfId="16" applyNumberFormat="1" applyFont="1" applyBorder="1" applyAlignment="1">
      <alignment vertical="center"/>
    </xf>
    <xf numFmtId="0" fontId="6" fillId="0" borderId="0" xfId="2" applyFont="1" applyFill="1" applyBorder="1" applyAlignment="1">
      <alignment horizontal="left" vertical="center" shrinkToFit="1"/>
    </xf>
    <xf numFmtId="177" fontId="6" fillId="0" borderId="0" xfId="16" applyNumberFormat="1" applyFont="1" applyFill="1" applyBorder="1" applyAlignment="1">
      <alignment vertical="center"/>
    </xf>
    <xf numFmtId="177" fontId="7" fillId="0" borderId="21" xfId="11" applyNumberFormat="1" applyFont="1" applyFill="1" applyBorder="1" applyAlignment="1">
      <alignment vertical="center"/>
    </xf>
    <xf numFmtId="0" fontId="6" fillId="0" borderId="7" xfId="10" applyFont="1" applyBorder="1" applyAlignment="1">
      <alignment horizontal="left" vertical="center" wrapText="1" shrinkToFit="1"/>
    </xf>
    <xf numFmtId="176" fontId="7" fillId="7" borderId="0" xfId="11" applyNumberFormat="1" applyFont="1" applyFill="1" applyBorder="1" applyAlignment="1">
      <alignment vertical="center" wrapText="1"/>
    </xf>
    <xf numFmtId="177" fontId="7" fillId="7" borderId="0" xfId="11" applyNumberFormat="1" applyFont="1" applyFill="1" applyBorder="1" applyAlignment="1">
      <alignment vertical="center"/>
    </xf>
    <xf numFmtId="0" fontId="6" fillId="8" borderId="7" xfId="15" applyFont="1" applyFill="1" applyBorder="1" applyAlignment="1">
      <alignment horizontal="left" vertical="center"/>
    </xf>
    <xf numFmtId="177" fontId="6" fillId="8" borderId="7" xfId="16" applyNumberFormat="1" applyFont="1" applyFill="1" applyBorder="1" applyAlignment="1">
      <alignment vertical="center"/>
    </xf>
    <xf numFmtId="0" fontId="6" fillId="8" borderId="7" xfId="2" applyFont="1" applyFill="1" applyBorder="1" applyAlignment="1">
      <alignment horizontal="left" vertical="center" shrinkToFit="1"/>
    </xf>
    <xf numFmtId="177" fontId="6" fillId="8" borderId="17" xfId="16" applyNumberFormat="1" applyFont="1" applyFill="1" applyBorder="1" applyAlignment="1">
      <alignment vertical="center"/>
    </xf>
    <xf numFmtId="0" fontId="6" fillId="0" borderId="36" xfId="0" applyFont="1" applyBorder="1" applyAlignment="1">
      <alignment vertical="center" shrinkToFit="1"/>
    </xf>
    <xf numFmtId="0" fontId="22" fillId="0" borderId="14" xfId="17" applyFont="1" applyBorder="1" applyAlignment="1" applyProtection="1">
      <alignment horizontal="center" vertical="center" wrapText="1"/>
      <protection locked="0"/>
    </xf>
    <xf numFmtId="0" fontId="22" fillId="0" borderId="0" xfId="17" applyFont="1" applyBorder="1" applyAlignment="1" applyProtection="1">
      <alignment horizontal="center" vertical="center" wrapText="1"/>
      <protection locked="0"/>
    </xf>
    <xf numFmtId="0" fontId="22" fillId="0" borderId="21" xfId="17" applyFont="1" applyBorder="1" applyAlignment="1" applyProtection="1">
      <alignment horizontal="center" vertical="center" wrapText="1"/>
      <protection locked="0"/>
    </xf>
    <xf numFmtId="0" fontId="17" fillId="0" borderId="0" xfId="15" applyFont="1" applyAlignment="1">
      <alignment horizontal="center" vertical="center"/>
    </xf>
    <xf numFmtId="0" fontId="16" fillId="0" borderId="0" xfId="15" applyFont="1" applyAlignment="1">
      <alignment horizontal="center" vertical="center"/>
    </xf>
    <xf numFmtId="0" fontId="12" fillId="6" borderId="24" xfId="15" applyFont="1" applyFill="1" applyBorder="1" applyAlignment="1">
      <alignment horizontal="center" vertical="center" wrapText="1"/>
    </xf>
    <xf numFmtId="0" fontId="12" fillId="6" borderId="10" xfId="15" applyFont="1" applyFill="1" applyBorder="1" applyAlignment="1">
      <alignment horizontal="center" vertical="center" wrapText="1"/>
    </xf>
    <xf numFmtId="0" fontId="12" fillId="6" borderId="23" xfId="15" applyFont="1" applyFill="1" applyBorder="1" applyAlignment="1">
      <alignment horizontal="center" vertical="center" wrapText="1"/>
    </xf>
    <xf numFmtId="0" fontId="12" fillId="6" borderId="11" xfId="15" applyFont="1" applyFill="1" applyBorder="1" applyAlignment="1">
      <alignment horizontal="center" vertical="center" wrapText="1"/>
    </xf>
    <xf numFmtId="0" fontId="4" fillId="0" borderId="0" xfId="10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2" fillId="6" borderId="24" xfId="10" applyFont="1" applyFill="1" applyBorder="1" applyAlignment="1">
      <alignment horizontal="center" vertical="center" shrinkToFit="1"/>
    </xf>
    <xf numFmtId="0" fontId="12" fillId="6" borderId="10" xfId="10" applyFont="1" applyFill="1" applyBorder="1" applyAlignment="1">
      <alignment horizontal="center" vertical="center" shrinkToFit="1"/>
    </xf>
    <xf numFmtId="0" fontId="11" fillId="6" borderId="24" xfId="10" applyFont="1" applyFill="1" applyBorder="1" applyAlignment="1">
      <alignment horizontal="center" vertical="center" wrapText="1"/>
    </xf>
    <xf numFmtId="0" fontId="11" fillId="6" borderId="23" xfId="10" applyFont="1" applyFill="1" applyBorder="1" applyAlignment="1">
      <alignment horizontal="center" vertical="center" wrapText="1"/>
    </xf>
    <xf numFmtId="0" fontId="11" fillId="6" borderId="10" xfId="10" applyFont="1" applyFill="1" applyBorder="1" applyAlignment="1">
      <alignment horizontal="center" vertical="center" wrapText="1"/>
    </xf>
    <xf numFmtId="0" fontId="11" fillId="6" borderId="11" xfId="10" applyFont="1" applyFill="1" applyBorder="1" applyAlignment="1">
      <alignment horizontal="center" vertical="center" wrapText="1"/>
    </xf>
  </cellXfs>
  <cellStyles count="18">
    <cellStyle name="Comma [0]" xfId="14" builtinId="6"/>
    <cellStyle name="Comma [0] 2" xfId="11"/>
    <cellStyle name="Normal" xfId="0" builtinId="0"/>
    <cellStyle name="Normal 2" xfId="10"/>
    <cellStyle name="Percent 2" xfId="13"/>
    <cellStyle name="쉼표 [0] 2" xfId="4"/>
    <cellStyle name="쉼표 [0] 2 2" xfId="5"/>
    <cellStyle name="쉼표 [0] 3" xfId="6"/>
    <cellStyle name="쉼표 [0] 4" xfId="8"/>
    <cellStyle name="쉼표 [0] 4 2" xfId="16"/>
    <cellStyle name="표준 2" xfId="2"/>
    <cellStyle name="표준 2 2" xfId="7"/>
    <cellStyle name="표준 3" xfId="1"/>
    <cellStyle name="표준 3 2" xfId="12"/>
    <cellStyle name="표준 3 2 2" xfId="15"/>
    <cellStyle name="표준 4" xfId="3"/>
    <cellStyle name="표준 5" xfId="9"/>
    <cellStyle name="표준 6" xfId="17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view="pageBreakPreview" zoomScaleNormal="100" zoomScaleSheetLayoutView="100" workbookViewId="0">
      <selection activeCell="M7" sqref="M7"/>
    </sheetView>
  </sheetViews>
  <sheetFormatPr defaultRowHeight="16.5" x14ac:dyDescent="0.3"/>
  <cols>
    <col min="1" max="1" width="2.625" style="207" customWidth="1"/>
    <col min="2" max="2" width="2.25" style="207" customWidth="1"/>
    <col min="3" max="3" width="4.25" style="207" customWidth="1"/>
    <col min="4" max="8" width="11.75" style="207" customWidth="1"/>
    <col min="9" max="16384" width="9" style="207"/>
  </cols>
  <sheetData>
    <row r="1" spans="1:9" ht="65.25" customHeight="1" x14ac:dyDescent="0.3">
      <c r="A1" s="204"/>
      <c r="B1" s="205"/>
      <c r="C1" s="205"/>
      <c r="D1" s="205"/>
      <c r="E1" s="205"/>
      <c r="F1" s="205"/>
      <c r="G1" s="205"/>
      <c r="H1" s="205"/>
      <c r="I1" s="206"/>
    </row>
    <row r="2" spans="1:9" ht="31.5" x14ac:dyDescent="0.3">
      <c r="A2" s="228" t="s">
        <v>493</v>
      </c>
      <c r="B2" s="229"/>
      <c r="C2" s="229"/>
      <c r="D2" s="229"/>
      <c r="E2" s="229"/>
      <c r="F2" s="229"/>
      <c r="G2" s="229"/>
      <c r="H2" s="229"/>
      <c r="I2" s="230"/>
    </row>
    <row r="3" spans="1:9" ht="15" customHeight="1" x14ac:dyDescent="0.3">
      <c r="A3" s="208"/>
      <c r="B3" s="209"/>
      <c r="C3" s="209"/>
      <c r="D3" s="210"/>
      <c r="E3" s="210"/>
      <c r="F3" s="210"/>
      <c r="G3" s="209"/>
      <c r="H3" s="209"/>
      <c r="I3" s="211"/>
    </row>
    <row r="4" spans="1:9" ht="83.25" customHeight="1" x14ac:dyDescent="0.3">
      <c r="A4" s="228" t="s">
        <v>490</v>
      </c>
      <c r="B4" s="229"/>
      <c r="C4" s="229"/>
      <c r="D4" s="229"/>
      <c r="E4" s="229"/>
      <c r="F4" s="229"/>
      <c r="G4" s="229"/>
      <c r="H4" s="229"/>
      <c r="I4" s="230"/>
    </row>
    <row r="5" spans="1:9" x14ac:dyDescent="0.3">
      <c r="A5" s="208"/>
      <c r="B5" s="209"/>
      <c r="C5" s="209"/>
      <c r="D5" s="209"/>
      <c r="E5" s="209"/>
      <c r="F5" s="209"/>
      <c r="G5" s="209"/>
      <c r="H5" s="209"/>
      <c r="I5" s="211"/>
    </row>
    <row r="6" spans="1:9" x14ac:dyDescent="0.3">
      <c r="A6" s="208"/>
      <c r="B6" s="209"/>
      <c r="C6" s="209"/>
      <c r="D6" s="209"/>
      <c r="E6" s="209"/>
      <c r="F6" s="209"/>
      <c r="G6" s="209"/>
      <c r="H6" s="209"/>
      <c r="I6" s="211"/>
    </row>
    <row r="7" spans="1:9" x14ac:dyDescent="0.3">
      <c r="A7" s="208"/>
      <c r="B7" s="209"/>
      <c r="C7" s="209"/>
      <c r="D7" s="209"/>
      <c r="E7" s="209"/>
      <c r="F7" s="209"/>
      <c r="G7" s="209"/>
      <c r="H7" s="209"/>
      <c r="I7" s="211"/>
    </row>
    <row r="8" spans="1:9" x14ac:dyDescent="0.3">
      <c r="A8" s="208"/>
      <c r="B8" s="209"/>
      <c r="C8" s="209"/>
      <c r="D8" s="209"/>
      <c r="E8" s="209"/>
      <c r="F8" s="209"/>
      <c r="G8" s="209"/>
      <c r="H8" s="209"/>
      <c r="I8" s="211"/>
    </row>
    <row r="9" spans="1:9" x14ac:dyDescent="0.3">
      <c r="A9" s="208"/>
      <c r="B9" s="209"/>
      <c r="C9" s="209"/>
      <c r="D9" s="209"/>
      <c r="E9" s="209"/>
      <c r="F9" s="209"/>
      <c r="G9" s="209"/>
      <c r="H9" s="209"/>
      <c r="I9" s="211"/>
    </row>
    <row r="10" spans="1:9" x14ac:dyDescent="0.3">
      <c r="A10" s="208"/>
      <c r="B10" s="209"/>
      <c r="C10" s="209"/>
      <c r="D10" s="209"/>
      <c r="E10" s="209"/>
      <c r="F10" s="209"/>
      <c r="G10" s="209"/>
      <c r="H10" s="209"/>
      <c r="I10" s="211"/>
    </row>
    <row r="11" spans="1:9" x14ac:dyDescent="0.3">
      <c r="A11" s="208"/>
      <c r="B11" s="209"/>
      <c r="C11" s="209"/>
      <c r="D11" s="209"/>
      <c r="E11" s="209"/>
      <c r="F11" s="209"/>
      <c r="G11" s="209"/>
      <c r="H11" s="209"/>
      <c r="I11" s="211"/>
    </row>
    <row r="12" spans="1:9" x14ac:dyDescent="0.3">
      <c r="A12" s="208"/>
      <c r="B12" s="209"/>
      <c r="C12" s="209"/>
      <c r="D12" s="209"/>
      <c r="E12" s="209"/>
      <c r="F12" s="209"/>
      <c r="G12" s="209"/>
      <c r="H12" s="209"/>
      <c r="I12" s="211"/>
    </row>
    <row r="13" spans="1:9" x14ac:dyDescent="0.3">
      <c r="A13" s="208"/>
      <c r="B13" s="209"/>
      <c r="C13" s="209"/>
      <c r="D13" s="209"/>
      <c r="E13" s="209"/>
      <c r="F13" s="209"/>
      <c r="G13" s="209"/>
      <c r="H13" s="209"/>
      <c r="I13" s="211"/>
    </row>
    <row r="14" spans="1:9" x14ac:dyDescent="0.3">
      <c r="A14" s="208"/>
      <c r="B14" s="209"/>
      <c r="C14" s="209"/>
      <c r="D14" s="209"/>
      <c r="E14" s="209"/>
      <c r="F14" s="209"/>
      <c r="G14" s="209"/>
      <c r="H14" s="209"/>
      <c r="I14" s="211"/>
    </row>
    <row r="15" spans="1:9" x14ac:dyDescent="0.3">
      <c r="A15" s="208"/>
      <c r="B15" s="209"/>
      <c r="C15" s="209"/>
      <c r="D15" s="209"/>
      <c r="E15" s="209"/>
      <c r="F15" s="209"/>
      <c r="G15" s="209"/>
      <c r="H15" s="209"/>
      <c r="I15" s="211"/>
    </row>
    <row r="16" spans="1:9" x14ac:dyDescent="0.3">
      <c r="A16" s="208"/>
      <c r="B16" s="209"/>
      <c r="C16" s="209"/>
      <c r="D16" s="209"/>
      <c r="E16" s="209"/>
      <c r="F16" s="209"/>
      <c r="G16" s="209"/>
      <c r="H16" s="209"/>
      <c r="I16" s="211"/>
    </row>
    <row r="17" spans="1:9" x14ac:dyDescent="0.3">
      <c r="A17" s="208"/>
      <c r="B17" s="209"/>
      <c r="C17" s="209"/>
      <c r="D17" s="209"/>
      <c r="E17" s="209"/>
      <c r="F17" s="209"/>
      <c r="G17" s="209"/>
      <c r="H17" s="209"/>
      <c r="I17" s="211"/>
    </row>
    <row r="18" spans="1:9" x14ac:dyDescent="0.3">
      <c r="A18" s="208"/>
      <c r="B18" s="209"/>
      <c r="C18" s="209"/>
      <c r="D18" s="209"/>
      <c r="E18" s="209"/>
      <c r="F18" s="209"/>
      <c r="G18" s="209"/>
      <c r="H18" s="209"/>
      <c r="I18" s="211"/>
    </row>
    <row r="19" spans="1:9" x14ac:dyDescent="0.3">
      <c r="A19" s="208"/>
      <c r="B19" s="209"/>
      <c r="C19" s="209"/>
      <c r="D19" s="209"/>
      <c r="E19" s="209"/>
      <c r="F19" s="209"/>
      <c r="G19" s="209"/>
      <c r="H19" s="209"/>
      <c r="I19" s="211"/>
    </row>
    <row r="20" spans="1:9" x14ac:dyDescent="0.3">
      <c r="A20" s="208"/>
      <c r="B20" s="209"/>
      <c r="C20" s="209"/>
      <c r="D20" s="209"/>
      <c r="E20" s="209"/>
      <c r="F20" s="209"/>
      <c r="G20" s="209"/>
      <c r="H20" s="209"/>
      <c r="I20" s="211"/>
    </row>
    <row r="21" spans="1:9" x14ac:dyDescent="0.3">
      <c r="A21" s="208"/>
      <c r="B21" s="209"/>
      <c r="C21" s="209"/>
      <c r="D21" s="209"/>
      <c r="E21" s="209"/>
      <c r="F21" s="209"/>
      <c r="G21" s="209"/>
      <c r="H21" s="209"/>
      <c r="I21" s="211"/>
    </row>
    <row r="22" spans="1:9" x14ac:dyDescent="0.3">
      <c r="A22" s="208"/>
      <c r="B22" s="209"/>
      <c r="C22" s="209"/>
      <c r="D22" s="209"/>
      <c r="E22" s="209"/>
      <c r="F22" s="209"/>
      <c r="G22" s="209"/>
      <c r="H22" s="209"/>
      <c r="I22" s="211"/>
    </row>
    <row r="23" spans="1:9" x14ac:dyDescent="0.3">
      <c r="A23" s="208"/>
      <c r="B23" s="209"/>
      <c r="C23" s="209"/>
      <c r="D23" s="209"/>
      <c r="E23" s="209"/>
      <c r="F23" s="209"/>
      <c r="G23" s="209"/>
      <c r="H23" s="209"/>
      <c r="I23" s="211"/>
    </row>
    <row r="24" spans="1:9" x14ac:dyDescent="0.3">
      <c r="A24" s="208"/>
      <c r="B24" s="209"/>
      <c r="C24" s="209"/>
      <c r="D24" s="209"/>
      <c r="E24" s="209"/>
      <c r="F24" s="209"/>
      <c r="G24" s="209"/>
      <c r="H24" s="209"/>
      <c r="I24" s="211"/>
    </row>
    <row r="25" spans="1:9" x14ac:dyDescent="0.3">
      <c r="A25" s="208"/>
      <c r="B25" s="209"/>
      <c r="C25" s="209"/>
      <c r="D25" s="209"/>
      <c r="E25" s="209"/>
      <c r="F25" s="209"/>
      <c r="G25" s="209"/>
      <c r="H25" s="209"/>
      <c r="I25" s="211"/>
    </row>
    <row r="26" spans="1:9" x14ac:dyDescent="0.3">
      <c r="A26" s="208"/>
      <c r="B26" s="209"/>
      <c r="C26" s="209"/>
      <c r="D26" s="209"/>
      <c r="E26" s="209"/>
      <c r="F26" s="209"/>
      <c r="G26" s="209"/>
      <c r="H26" s="209"/>
      <c r="I26" s="211"/>
    </row>
    <row r="27" spans="1:9" x14ac:dyDescent="0.3">
      <c r="A27" s="208"/>
      <c r="B27" s="209"/>
      <c r="C27" s="209"/>
      <c r="D27" s="209"/>
      <c r="E27" s="209"/>
      <c r="F27" s="209"/>
      <c r="G27" s="209"/>
      <c r="H27" s="209"/>
      <c r="I27" s="211"/>
    </row>
    <row r="28" spans="1:9" ht="31.5" x14ac:dyDescent="0.3">
      <c r="A28" s="228" t="s">
        <v>491</v>
      </c>
      <c r="B28" s="229"/>
      <c r="C28" s="229"/>
      <c r="D28" s="229"/>
      <c r="E28" s="229"/>
      <c r="F28" s="229"/>
      <c r="G28" s="229"/>
      <c r="H28" s="229"/>
      <c r="I28" s="230"/>
    </row>
    <row r="29" spans="1:9" ht="31.5" x14ac:dyDescent="0.3">
      <c r="A29" s="228" t="s">
        <v>492</v>
      </c>
      <c r="B29" s="229"/>
      <c r="C29" s="229"/>
      <c r="D29" s="229"/>
      <c r="E29" s="229"/>
      <c r="F29" s="229"/>
      <c r="G29" s="229"/>
      <c r="H29" s="229"/>
      <c r="I29" s="230"/>
    </row>
    <row r="30" spans="1:9" x14ac:dyDescent="0.3">
      <c r="A30" s="208"/>
      <c r="B30" s="209"/>
      <c r="C30" s="209"/>
      <c r="D30" s="209"/>
      <c r="E30" s="209"/>
      <c r="F30" s="209"/>
      <c r="G30" s="209"/>
      <c r="H30" s="209"/>
      <c r="I30" s="211"/>
    </row>
    <row r="31" spans="1:9" x14ac:dyDescent="0.3">
      <c r="A31" s="208"/>
      <c r="B31" s="209"/>
      <c r="C31" s="209"/>
      <c r="D31" s="209"/>
      <c r="E31" s="209"/>
      <c r="F31" s="209"/>
      <c r="G31" s="209"/>
      <c r="H31" s="209"/>
      <c r="I31" s="211"/>
    </row>
    <row r="32" spans="1:9" ht="17.25" thickBot="1" x14ac:dyDescent="0.35">
      <c r="A32" s="212"/>
      <c r="B32" s="213"/>
      <c r="C32" s="213"/>
      <c r="D32" s="213"/>
      <c r="E32" s="213"/>
      <c r="F32" s="213"/>
      <c r="G32" s="213"/>
      <c r="H32" s="213"/>
      <c r="I32" s="214"/>
    </row>
  </sheetData>
  <mergeCells count="4">
    <mergeCell ref="A2:I2"/>
    <mergeCell ref="A4:I4"/>
    <mergeCell ref="A28:I28"/>
    <mergeCell ref="A29:I2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1"/>
  <sheetViews>
    <sheetView tabSelected="1" view="pageBreakPreview" topLeftCell="A79" zoomScale="118" zoomScaleNormal="115" zoomScaleSheetLayoutView="118" workbookViewId="0">
      <selection activeCell="G88" sqref="G88"/>
    </sheetView>
  </sheetViews>
  <sheetFormatPr defaultRowHeight="16.5" x14ac:dyDescent="0.3"/>
  <cols>
    <col min="1" max="2" width="2.625" style="76" customWidth="1"/>
    <col min="3" max="3" width="20.625" style="144" customWidth="1"/>
    <col min="4" max="5" width="17.875" style="145" bestFit="1" customWidth="1"/>
    <col min="6" max="6" width="15.75" style="145" bestFit="1" customWidth="1"/>
    <col min="7" max="7" width="47" style="79" customWidth="1"/>
    <col min="8" max="8" width="17.875" style="79" bestFit="1" customWidth="1"/>
    <col min="9" max="16384" width="9" style="76"/>
  </cols>
  <sheetData>
    <row r="1" spans="1:9" ht="33.75" x14ac:dyDescent="0.3">
      <c r="A1" s="231" t="s">
        <v>408</v>
      </c>
      <c r="B1" s="232"/>
      <c r="C1" s="232"/>
      <c r="D1" s="232"/>
      <c r="E1" s="232"/>
      <c r="F1" s="232"/>
      <c r="G1" s="232"/>
      <c r="H1" s="232"/>
    </row>
    <row r="2" spans="1:9" ht="17.25" thickBot="1" x14ac:dyDescent="0.35">
      <c r="A2" s="77"/>
      <c r="B2" s="78"/>
      <c r="C2" s="77"/>
      <c r="D2" s="76"/>
      <c r="E2" s="76"/>
      <c r="F2" s="76"/>
    </row>
    <row r="3" spans="1:9" x14ac:dyDescent="0.3">
      <c r="A3" s="80" t="s">
        <v>14</v>
      </c>
      <c r="B3" s="81"/>
      <c r="C3" s="81"/>
      <c r="D3" s="233" t="s">
        <v>16</v>
      </c>
      <c r="E3" s="233" t="s">
        <v>18</v>
      </c>
      <c r="F3" s="233" t="s">
        <v>20</v>
      </c>
      <c r="G3" s="233" t="s">
        <v>21</v>
      </c>
      <c r="H3" s="235"/>
      <c r="I3" s="82"/>
    </row>
    <row r="4" spans="1:9" x14ac:dyDescent="0.3">
      <c r="A4" s="83" t="s">
        <v>23</v>
      </c>
      <c r="B4" s="84" t="s">
        <v>25</v>
      </c>
      <c r="C4" s="84" t="s">
        <v>27</v>
      </c>
      <c r="D4" s="234"/>
      <c r="E4" s="234"/>
      <c r="F4" s="234"/>
      <c r="G4" s="234"/>
      <c r="H4" s="236"/>
    </row>
    <row r="5" spans="1:9" x14ac:dyDescent="0.3">
      <c r="A5" s="85" t="s">
        <v>28</v>
      </c>
      <c r="B5" s="86"/>
      <c r="C5" s="86"/>
      <c r="D5" s="87">
        <f>SUM(D6,D17,D19)</f>
        <v>7671280</v>
      </c>
      <c r="E5" s="87">
        <f>SUM(E6,E17,E19)</f>
        <v>7427924</v>
      </c>
      <c r="F5" s="88">
        <f>D5-E5</f>
        <v>243356</v>
      </c>
      <c r="G5" s="89"/>
      <c r="H5" s="90"/>
    </row>
    <row r="6" spans="1:9" x14ac:dyDescent="0.3">
      <c r="A6" s="91"/>
      <c r="B6" s="92" t="s">
        <v>29</v>
      </c>
      <c r="C6" s="92"/>
      <c r="D6" s="93">
        <f>SUM(D7:D12)</f>
        <v>6733600</v>
      </c>
      <c r="E6" s="93">
        <f>SUM(E7:E12)</f>
        <v>6735604</v>
      </c>
      <c r="F6" s="93">
        <f t="shared" ref="F6:F70" si="0">D6-E6</f>
        <v>-2004</v>
      </c>
      <c r="G6" s="94"/>
      <c r="H6" s="95"/>
    </row>
    <row r="7" spans="1:9" x14ac:dyDescent="0.3">
      <c r="A7" s="91"/>
      <c r="B7" s="96"/>
      <c r="C7" s="97" t="s">
        <v>30</v>
      </c>
      <c r="D7" s="98">
        <f>H11</f>
        <v>288900</v>
      </c>
      <c r="E7" s="98">
        <v>356310</v>
      </c>
      <c r="F7" s="98">
        <f t="shared" si="0"/>
        <v>-67410</v>
      </c>
      <c r="G7" s="99" t="s">
        <v>346</v>
      </c>
      <c r="H7" s="100">
        <f>3210*15</f>
        <v>48150</v>
      </c>
    </row>
    <row r="8" spans="1:9" x14ac:dyDescent="0.3">
      <c r="A8" s="91"/>
      <c r="B8" s="96"/>
      <c r="C8" s="96"/>
      <c r="D8" s="101"/>
      <c r="E8" s="101"/>
      <c r="F8" s="101"/>
      <c r="G8" s="39" t="s">
        <v>31</v>
      </c>
      <c r="H8" s="102">
        <f>3210*50</f>
        <v>160500</v>
      </c>
    </row>
    <row r="9" spans="1:9" x14ac:dyDescent="0.3">
      <c r="A9" s="91"/>
      <c r="B9" s="96"/>
      <c r="C9" s="96"/>
      <c r="D9" s="101"/>
      <c r="E9" s="101"/>
      <c r="F9" s="101"/>
      <c r="G9" s="39" t="s">
        <v>361</v>
      </c>
      <c r="H9" s="102">
        <f>3210*10</f>
        <v>32100</v>
      </c>
    </row>
    <row r="10" spans="1:9" x14ac:dyDescent="0.3">
      <c r="A10" s="91"/>
      <c r="B10" s="96"/>
      <c r="C10" s="96"/>
      <c r="D10" s="101"/>
      <c r="E10" s="101"/>
      <c r="F10" s="101"/>
      <c r="G10" s="103" t="s">
        <v>347</v>
      </c>
      <c r="H10" s="104">
        <f>3210*15</f>
        <v>48150</v>
      </c>
    </row>
    <row r="11" spans="1:9" x14ac:dyDescent="0.3">
      <c r="A11" s="91"/>
      <c r="B11" s="96"/>
      <c r="C11" s="96"/>
      <c r="D11" s="101"/>
      <c r="E11" s="101"/>
      <c r="F11" s="101"/>
      <c r="G11" s="105" t="s">
        <v>33</v>
      </c>
      <c r="H11" s="106">
        <f>SUM(H7:H10)</f>
        <v>288900</v>
      </c>
    </row>
    <row r="12" spans="1:9" x14ac:dyDescent="0.3">
      <c r="A12" s="91"/>
      <c r="B12" s="96"/>
      <c r="C12" s="96" t="s">
        <v>34</v>
      </c>
      <c r="D12" s="101">
        <f>H16</f>
        <v>6444700</v>
      </c>
      <c r="E12" s="101">
        <v>6379294</v>
      </c>
      <c r="F12" s="101">
        <f t="shared" si="0"/>
        <v>65406</v>
      </c>
      <c r="G12" s="199" t="s">
        <v>484</v>
      </c>
      <c r="H12" s="200">
        <f>5730*44*2</f>
        <v>504240</v>
      </c>
    </row>
    <row r="13" spans="1:9" x14ac:dyDescent="0.3">
      <c r="A13" s="91"/>
      <c r="B13" s="96"/>
      <c r="C13" s="96"/>
      <c r="D13" s="101"/>
      <c r="E13" s="101"/>
      <c r="F13" s="101"/>
      <c r="G13" s="36" t="s">
        <v>485</v>
      </c>
      <c r="H13" s="201">
        <f>6012*220*2</f>
        <v>2645280</v>
      </c>
    </row>
    <row r="14" spans="1:9" x14ac:dyDescent="0.3">
      <c r="A14" s="91"/>
      <c r="B14" s="96"/>
      <c r="C14" s="96"/>
      <c r="D14" s="101"/>
      <c r="E14" s="101"/>
      <c r="F14" s="101"/>
      <c r="G14" s="36" t="s">
        <v>486</v>
      </c>
      <c r="H14" s="201">
        <f>8596*65*2</f>
        <v>1117480</v>
      </c>
    </row>
    <row r="15" spans="1:9" x14ac:dyDescent="0.3">
      <c r="A15" s="91"/>
      <c r="B15" s="96"/>
      <c r="C15" s="96"/>
      <c r="D15" s="101"/>
      <c r="E15" s="101"/>
      <c r="F15" s="101"/>
      <c r="G15" s="202" t="s">
        <v>487</v>
      </c>
      <c r="H15" s="203">
        <f>10675*102*2</f>
        <v>2177700</v>
      </c>
    </row>
    <row r="16" spans="1:9" x14ac:dyDescent="0.3">
      <c r="A16" s="91"/>
      <c r="B16" s="96"/>
      <c r="C16" s="107"/>
      <c r="D16" s="108"/>
      <c r="E16" s="108"/>
      <c r="F16" s="108"/>
      <c r="G16" s="105" t="s">
        <v>35</v>
      </c>
      <c r="H16" s="106">
        <f>SUM(H12:H15)</f>
        <v>6444700</v>
      </c>
    </row>
    <row r="17" spans="1:8" x14ac:dyDescent="0.3">
      <c r="A17" s="91"/>
      <c r="B17" s="109" t="s">
        <v>36</v>
      </c>
      <c r="C17" s="109"/>
      <c r="D17" s="93">
        <f>SUM(D18)</f>
        <v>0</v>
      </c>
      <c r="E17" s="93">
        <f>SUM(E18)</f>
        <v>0</v>
      </c>
      <c r="F17" s="93">
        <f t="shared" si="0"/>
        <v>0</v>
      </c>
      <c r="G17" s="94"/>
      <c r="H17" s="110"/>
    </row>
    <row r="18" spans="1:8" x14ac:dyDescent="0.3">
      <c r="A18" s="91"/>
      <c r="B18" s="96"/>
      <c r="C18" s="111" t="s">
        <v>37</v>
      </c>
      <c r="D18" s="112">
        <v>0</v>
      </c>
      <c r="E18" s="112">
        <v>0</v>
      </c>
      <c r="F18" s="112">
        <f t="shared" si="0"/>
        <v>0</v>
      </c>
      <c r="G18" s="113"/>
      <c r="H18" s="114"/>
    </row>
    <row r="19" spans="1:8" x14ac:dyDescent="0.3">
      <c r="A19" s="91"/>
      <c r="B19" s="109" t="s">
        <v>38</v>
      </c>
      <c r="C19" s="109"/>
      <c r="D19" s="93">
        <f>SUM(D20:D40)</f>
        <v>937680</v>
      </c>
      <c r="E19" s="93">
        <f>SUM(E20:E40)</f>
        <v>692320</v>
      </c>
      <c r="F19" s="93">
        <f t="shared" si="0"/>
        <v>245360</v>
      </c>
      <c r="G19" s="115"/>
      <c r="H19" s="116"/>
    </row>
    <row r="20" spans="1:8" x14ac:dyDescent="0.3">
      <c r="A20" s="91"/>
      <c r="B20" s="96"/>
      <c r="C20" s="97" t="s">
        <v>39</v>
      </c>
      <c r="D20" s="98">
        <f>H29</f>
        <v>658960</v>
      </c>
      <c r="E20" s="98">
        <v>536250</v>
      </c>
      <c r="F20" s="98">
        <f t="shared" si="0"/>
        <v>122710</v>
      </c>
      <c r="G20" s="117" t="s">
        <v>388</v>
      </c>
      <c r="H20" s="100">
        <f>5*44*185</f>
        <v>40700</v>
      </c>
    </row>
    <row r="21" spans="1:8" x14ac:dyDescent="0.3">
      <c r="A21" s="91"/>
      <c r="B21" s="96"/>
      <c r="C21" s="96"/>
      <c r="D21" s="101"/>
      <c r="E21" s="101"/>
      <c r="F21" s="101"/>
      <c r="G21" s="118" t="s">
        <v>389</v>
      </c>
      <c r="H21" s="102">
        <f>6*218*185</f>
        <v>241980</v>
      </c>
    </row>
    <row r="22" spans="1:8" x14ac:dyDescent="0.3">
      <c r="A22" s="91"/>
      <c r="B22" s="96"/>
      <c r="C22" s="96"/>
      <c r="D22" s="101"/>
      <c r="E22" s="101"/>
      <c r="F22" s="101"/>
      <c r="G22" s="118" t="s">
        <v>390</v>
      </c>
      <c r="H22" s="102">
        <f>7*160*185</f>
        <v>207200</v>
      </c>
    </row>
    <row r="23" spans="1:8" x14ac:dyDescent="0.3">
      <c r="A23" s="91"/>
      <c r="B23" s="96"/>
      <c r="C23" s="96"/>
      <c r="D23" s="101"/>
      <c r="E23" s="101"/>
      <c r="F23" s="101"/>
      <c r="G23" s="118" t="s">
        <v>384</v>
      </c>
      <c r="H23" s="102">
        <f>5*70*185</f>
        <v>64750</v>
      </c>
    </row>
    <row r="24" spans="1:8" x14ac:dyDescent="0.3">
      <c r="A24" s="91"/>
      <c r="B24" s="96"/>
      <c r="C24" s="96"/>
      <c r="D24" s="101"/>
      <c r="E24" s="101"/>
      <c r="F24" s="101"/>
      <c r="G24" s="118" t="s">
        <v>381</v>
      </c>
      <c r="H24" s="102">
        <f>6*80*40</f>
        <v>19200</v>
      </c>
    </row>
    <row r="25" spans="1:8" x14ac:dyDescent="0.3">
      <c r="A25" s="91"/>
      <c r="B25" s="96"/>
      <c r="C25" s="96"/>
      <c r="D25" s="101"/>
      <c r="E25" s="101"/>
      <c r="F25" s="101"/>
      <c r="G25" s="118" t="s">
        <v>382</v>
      </c>
      <c r="H25" s="102">
        <f>250*185</f>
        <v>46250</v>
      </c>
    </row>
    <row r="26" spans="1:8" x14ac:dyDescent="0.3">
      <c r="A26" s="91"/>
      <c r="B26" s="96"/>
      <c r="C26" s="96"/>
      <c r="D26" s="101"/>
      <c r="E26" s="101"/>
      <c r="F26" s="101"/>
      <c r="G26" s="118" t="s">
        <v>386</v>
      </c>
      <c r="H26" s="102">
        <f>7*81*30</f>
        <v>17010</v>
      </c>
    </row>
    <row r="27" spans="1:8" x14ac:dyDescent="0.3">
      <c r="A27" s="91"/>
      <c r="B27" s="96"/>
      <c r="C27" s="96"/>
      <c r="D27" s="101"/>
      <c r="E27" s="101"/>
      <c r="F27" s="101"/>
      <c r="G27" s="118" t="s">
        <v>385</v>
      </c>
      <c r="H27" s="102">
        <f>102*185</f>
        <v>18870</v>
      </c>
    </row>
    <row r="28" spans="1:8" x14ac:dyDescent="0.3">
      <c r="A28" s="91"/>
      <c r="B28" s="96"/>
      <c r="C28" s="96"/>
      <c r="D28" s="101"/>
      <c r="E28" s="101"/>
      <c r="F28" s="101"/>
      <c r="G28" s="119" t="s">
        <v>383</v>
      </c>
      <c r="H28" s="104">
        <f>100*30</f>
        <v>3000</v>
      </c>
    </row>
    <row r="29" spans="1:8" x14ac:dyDescent="0.3">
      <c r="A29" s="91"/>
      <c r="B29" s="96"/>
      <c r="C29" s="96"/>
      <c r="D29" s="101"/>
      <c r="E29" s="101"/>
      <c r="F29" s="101"/>
      <c r="G29" s="105" t="s">
        <v>40</v>
      </c>
      <c r="H29" s="106">
        <f>SUM(H20:H28)</f>
        <v>658960</v>
      </c>
    </row>
    <row r="30" spans="1:8" x14ac:dyDescent="0.3">
      <c r="A30" s="91"/>
      <c r="B30" s="96"/>
      <c r="C30" s="96" t="s">
        <v>5</v>
      </c>
      <c r="D30" s="101">
        <f>H35</f>
        <v>187000</v>
      </c>
      <c r="E30" s="101">
        <v>113070</v>
      </c>
      <c r="F30" s="101">
        <f t="shared" si="0"/>
        <v>73930</v>
      </c>
      <c r="G30" s="99" t="s">
        <v>391</v>
      </c>
      <c r="H30" s="100">
        <f>50*44*3*5</f>
        <v>33000</v>
      </c>
    </row>
    <row r="31" spans="1:8" x14ac:dyDescent="0.3">
      <c r="A31" s="91"/>
      <c r="B31" s="96"/>
      <c r="C31" s="96"/>
      <c r="D31" s="101"/>
      <c r="E31" s="101"/>
      <c r="F31" s="101"/>
      <c r="G31" s="39" t="s">
        <v>392</v>
      </c>
      <c r="H31" s="102">
        <f>150*200*2</f>
        <v>60000</v>
      </c>
    </row>
    <row r="32" spans="1:8" x14ac:dyDescent="0.3">
      <c r="A32" s="91"/>
      <c r="B32" s="96"/>
      <c r="C32" s="96"/>
      <c r="D32" s="101"/>
      <c r="E32" s="101"/>
      <c r="F32" s="101"/>
      <c r="G32" s="39" t="s">
        <v>440</v>
      </c>
      <c r="H32" s="102">
        <f>500*50*2</f>
        <v>50000</v>
      </c>
    </row>
    <row r="33" spans="1:9" x14ac:dyDescent="0.3">
      <c r="A33" s="91"/>
      <c r="B33" s="96"/>
      <c r="C33" s="96"/>
      <c r="D33" s="101"/>
      <c r="E33" s="101"/>
      <c r="F33" s="101"/>
      <c r="G33" s="39" t="s">
        <v>41</v>
      </c>
      <c r="H33" s="102">
        <f>200*50*2</f>
        <v>20000</v>
      </c>
    </row>
    <row r="34" spans="1:9" x14ac:dyDescent="0.3">
      <c r="A34" s="91"/>
      <c r="B34" s="96"/>
      <c r="C34" s="96"/>
      <c r="D34" s="101"/>
      <c r="E34" s="101"/>
      <c r="F34" s="101"/>
      <c r="G34" s="103" t="s">
        <v>42</v>
      </c>
      <c r="H34" s="104">
        <f>200*60*2</f>
        <v>24000</v>
      </c>
    </row>
    <row r="35" spans="1:9" x14ac:dyDescent="0.3">
      <c r="A35" s="91"/>
      <c r="B35" s="96"/>
      <c r="C35" s="96"/>
      <c r="D35" s="101"/>
      <c r="E35" s="101"/>
      <c r="F35" s="101"/>
      <c r="G35" s="105" t="s">
        <v>43</v>
      </c>
      <c r="H35" s="106">
        <f>SUM(H30:H34)</f>
        <v>187000</v>
      </c>
    </row>
    <row r="36" spans="1:9" x14ac:dyDescent="0.3">
      <c r="A36" s="91"/>
      <c r="B36" s="96"/>
      <c r="C36" s="96" t="s">
        <v>0</v>
      </c>
      <c r="D36" s="101">
        <f>H39</f>
        <v>51720</v>
      </c>
      <c r="E36" s="101">
        <v>0</v>
      </c>
      <c r="F36" s="101">
        <f t="shared" si="0"/>
        <v>51720</v>
      </c>
      <c r="G36" s="99" t="s">
        <v>393</v>
      </c>
      <c r="H36" s="100">
        <f>20*44*4</f>
        <v>3520</v>
      </c>
    </row>
    <row r="37" spans="1:9" x14ac:dyDescent="0.3">
      <c r="A37" s="91"/>
      <c r="B37" s="96"/>
      <c r="C37" s="96"/>
      <c r="D37" s="101"/>
      <c r="E37" s="101"/>
      <c r="F37" s="101"/>
      <c r="G37" s="39" t="s">
        <v>394</v>
      </c>
      <c r="H37" s="102">
        <f>40*220*4</f>
        <v>35200</v>
      </c>
    </row>
    <row r="38" spans="1:9" x14ac:dyDescent="0.3">
      <c r="A38" s="91"/>
      <c r="B38" s="96"/>
      <c r="C38" s="96"/>
      <c r="D38" s="101"/>
      <c r="E38" s="101"/>
      <c r="F38" s="101"/>
      <c r="G38" s="39" t="s">
        <v>395</v>
      </c>
      <c r="H38" s="102">
        <f>50*65*4</f>
        <v>13000</v>
      </c>
    </row>
    <row r="39" spans="1:9" x14ac:dyDescent="0.3">
      <c r="A39" s="91"/>
      <c r="B39" s="96"/>
      <c r="C39" s="96"/>
      <c r="D39" s="101"/>
      <c r="E39" s="101"/>
      <c r="F39" s="101"/>
      <c r="G39" s="105" t="s">
        <v>44</v>
      </c>
      <c r="H39" s="106">
        <f>SUM(H36:H38)</f>
        <v>51720</v>
      </c>
    </row>
    <row r="40" spans="1:9" x14ac:dyDescent="0.3">
      <c r="A40" s="91"/>
      <c r="B40" s="96"/>
      <c r="C40" s="96" t="s">
        <v>4</v>
      </c>
      <c r="D40" s="101">
        <f>H42</f>
        <v>40000</v>
      </c>
      <c r="E40" s="101">
        <v>43000</v>
      </c>
      <c r="F40" s="101">
        <f t="shared" si="0"/>
        <v>-3000</v>
      </c>
      <c r="G40" s="120" t="s">
        <v>45</v>
      </c>
      <c r="H40" s="121">
        <f>300*45*2</f>
        <v>27000</v>
      </c>
    </row>
    <row r="41" spans="1:9" s="1" customFormat="1" x14ac:dyDescent="0.3">
      <c r="A41" s="9"/>
      <c r="B41" s="8"/>
      <c r="C41" s="32"/>
      <c r="D41" s="31"/>
      <c r="E41" s="31"/>
      <c r="F41" s="31"/>
      <c r="G41" s="54" t="s">
        <v>46</v>
      </c>
      <c r="H41" s="52">
        <f>260*50</f>
        <v>13000</v>
      </c>
      <c r="I41" s="122"/>
    </row>
    <row r="42" spans="1:9" x14ac:dyDescent="0.3">
      <c r="A42" s="91"/>
      <c r="B42" s="96"/>
      <c r="C42" s="107"/>
      <c r="D42" s="108"/>
      <c r="E42" s="108"/>
      <c r="F42" s="108"/>
      <c r="G42" s="105" t="s">
        <v>47</v>
      </c>
      <c r="H42" s="106">
        <f>SUM(H40:H41)</f>
        <v>40000</v>
      </c>
    </row>
    <row r="43" spans="1:9" x14ac:dyDescent="0.3">
      <c r="A43" s="85" t="s">
        <v>48</v>
      </c>
      <c r="B43" s="86"/>
      <c r="C43" s="86"/>
      <c r="D43" s="87">
        <f>SUM(D44,D56,D58)</f>
        <v>2234000</v>
      </c>
      <c r="E43" s="87">
        <f>SUM(E44,E56,E58)</f>
        <v>3250740</v>
      </c>
      <c r="F43" s="87">
        <f t="shared" si="0"/>
        <v>-1016740</v>
      </c>
      <c r="G43" s="123"/>
      <c r="H43" s="124"/>
    </row>
    <row r="44" spans="1:9" x14ac:dyDescent="0.3">
      <c r="A44" s="91"/>
      <c r="B44" s="92" t="s">
        <v>49</v>
      </c>
      <c r="C44" s="92"/>
      <c r="D44" s="93">
        <f>H55</f>
        <v>2192000</v>
      </c>
      <c r="E44" s="93">
        <f>SUM(E45:E51)</f>
        <v>2639610</v>
      </c>
      <c r="F44" s="93">
        <f t="shared" si="0"/>
        <v>-447610</v>
      </c>
      <c r="G44" s="94"/>
      <c r="H44" s="110"/>
    </row>
    <row r="45" spans="1:9" x14ac:dyDescent="0.3">
      <c r="A45" s="91"/>
      <c r="B45" s="96"/>
      <c r="C45" s="97" t="s">
        <v>50</v>
      </c>
      <c r="D45" s="98">
        <f t="shared" ref="D45:D50" si="1">H45</f>
        <v>1320000</v>
      </c>
      <c r="E45" s="98">
        <v>1483686</v>
      </c>
      <c r="F45" s="215">
        <f t="shared" si="0"/>
        <v>-163686</v>
      </c>
      <c r="G45" s="217" t="s">
        <v>51</v>
      </c>
      <c r="H45" s="218">
        <f>330000*4</f>
        <v>1320000</v>
      </c>
    </row>
    <row r="46" spans="1:9" x14ac:dyDescent="0.3">
      <c r="A46" s="91"/>
      <c r="B46" s="96"/>
      <c r="C46" s="96" t="s">
        <v>52</v>
      </c>
      <c r="D46" s="101">
        <f t="shared" si="1"/>
        <v>660000</v>
      </c>
      <c r="E46" s="101">
        <v>728920</v>
      </c>
      <c r="F46" s="216">
        <f t="shared" si="0"/>
        <v>-68920</v>
      </c>
      <c r="G46" s="217" t="s">
        <v>53</v>
      </c>
      <c r="H46" s="218">
        <f>165000*4</f>
        <v>660000</v>
      </c>
    </row>
    <row r="47" spans="1:9" x14ac:dyDescent="0.3">
      <c r="A47" s="91"/>
      <c r="B47" s="96"/>
      <c r="C47" s="96" t="s">
        <v>54</v>
      </c>
      <c r="D47" s="125" t="str">
        <f t="shared" si="1"/>
        <v>-</v>
      </c>
      <c r="E47" s="125" t="s">
        <v>55</v>
      </c>
      <c r="F47" s="125">
        <v>0</v>
      </c>
      <c r="G47" s="126" t="s">
        <v>56</v>
      </c>
      <c r="H47" s="127" t="s">
        <v>56</v>
      </c>
    </row>
    <row r="48" spans="1:9" x14ac:dyDescent="0.3">
      <c r="A48" s="91"/>
      <c r="B48" s="96"/>
      <c r="C48" s="96" t="s">
        <v>57</v>
      </c>
      <c r="D48" s="101">
        <v>160000</v>
      </c>
      <c r="E48" s="101">
        <v>158560</v>
      </c>
      <c r="F48" s="101">
        <f t="shared" si="0"/>
        <v>1440</v>
      </c>
      <c r="G48" s="39" t="s">
        <v>396</v>
      </c>
      <c r="H48" s="102">
        <v>160000</v>
      </c>
    </row>
    <row r="49" spans="1:8" x14ac:dyDescent="0.3">
      <c r="A49" s="91"/>
      <c r="B49" s="96"/>
      <c r="C49" s="96" t="s">
        <v>58</v>
      </c>
      <c r="D49" s="101">
        <v>26000</v>
      </c>
      <c r="E49" s="101">
        <v>25050</v>
      </c>
      <c r="F49" s="101">
        <f t="shared" si="0"/>
        <v>950</v>
      </c>
      <c r="G49" s="39" t="s">
        <v>399</v>
      </c>
      <c r="H49" s="102">
        <v>26000</v>
      </c>
    </row>
    <row r="50" spans="1:8" x14ac:dyDescent="0.3">
      <c r="A50" s="91"/>
      <c r="B50" s="96"/>
      <c r="C50" s="223" t="s">
        <v>513</v>
      </c>
      <c r="D50" s="224">
        <f t="shared" si="1"/>
        <v>0</v>
      </c>
      <c r="E50" s="224">
        <v>0</v>
      </c>
      <c r="F50" s="224">
        <f>D50-E50</f>
        <v>0</v>
      </c>
      <c r="G50" s="225"/>
      <c r="H50" s="226"/>
    </row>
    <row r="51" spans="1:8" x14ac:dyDescent="0.3">
      <c r="A51" s="91"/>
      <c r="B51" s="96"/>
      <c r="C51" s="96" t="s">
        <v>59</v>
      </c>
      <c r="D51" s="101">
        <f>SUM(H51:H54)</f>
        <v>26000</v>
      </c>
      <c r="E51" s="101">
        <v>243394</v>
      </c>
      <c r="F51" s="101">
        <f t="shared" si="0"/>
        <v>-217394</v>
      </c>
      <c r="G51" s="39" t="s">
        <v>60</v>
      </c>
      <c r="H51" s="102"/>
    </row>
    <row r="52" spans="1:8" x14ac:dyDescent="0.3">
      <c r="A52" s="91"/>
      <c r="B52" s="96"/>
      <c r="C52" s="96"/>
      <c r="D52" s="101"/>
      <c r="E52" s="101"/>
      <c r="F52" s="101"/>
      <c r="G52" s="39" t="s">
        <v>397</v>
      </c>
      <c r="H52" s="102">
        <v>26000</v>
      </c>
    </row>
    <row r="53" spans="1:8" x14ac:dyDescent="0.3">
      <c r="A53" s="91"/>
      <c r="B53" s="96"/>
      <c r="C53" s="96"/>
      <c r="D53" s="101"/>
      <c r="E53" s="101"/>
      <c r="F53" s="101"/>
      <c r="G53" s="128" t="s">
        <v>398</v>
      </c>
      <c r="H53" s="129"/>
    </row>
    <row r="54" spans="1:8" x14ac:dyDescent="0.3">
      <c r="A54" s="91"/>
      <c r="B54" s="96"/>
      <c r="C54" s="96"/>
      <c r="D54" s="101"/>
      <c r="E54" s="101"/>
      <c r="F54" s="101"/>
      <c r="G54" s="103" t="s">
        <v>61</v>
      </c>
      <c r="H54" s="129"/>
    </row>
    <row r="55" spans="1:8" x14ac:dyDescent="0.3">
      <c r="A55" s="91"/>
      <c r="B55" s="96"/>
      <c r="C55" s="107"/>
      <c r="D55" s="108"/>
      <c r="E55" s="108"/>
      <c r="F55" s="108"/>
      <c r="G55" s="105" t="s">
        <v>62</v>
      </c>
      <c r="H55" s="106">
        <f>SUM(H45:H54)</f>
        <v>2192000</v>
      </c>
    </row>
    <row r="56" spans="1:8" x14ac:dyDescent="0.3">
      <c r="A56" s="91"/>
      <c r="B56" s="109" t="s">
        <v>63</v>
      </c>
      <c r="C56" s="109"/>
      <c r="D56" s="93">
        <f>SUM(D57)</f>
        <v>0</v>
      </c>
      <c r="E56" s="93"/>
      <c r="F56" s="93">
        <f t="shared" si="0"/>
        <v>0</v>
      </c>
      <c r="G56" s="94"/>
      <c r="H56" s="110"/>
    </row>
    <row r="57" spans="1:8" x14ac:dyDescent="0.3">
      <c r="A57" s="91"/>
      <c r="B57" s="96"/>
      <c r="C57" s="97" t="s">
        <v>63</v>
      </c>
      <c r="D57" s="130" t="s">
        <v>56</v>
      </c>
      <c r="E57" s="130" t="s">
        <v>56</v>
      </c>
      <c r="F57" s="130" t="s">
        <v>56</v>
      </c>
      <c r="G57" s="131" t="s">
        <v>56</v>
      </c>
      <c r="H57" s="132" t="s">
        <v>56</v>
      </c>
    </row>
    <row r="58" spans="1:8" x14ac:dyDescent="0.3">
      <c r="A58" s="91"/>
      <c r="B58" s="109" t="s">
        <v>64</v>
      </c>
      <c r="C58" s="109"/>
      <c r="D58" s="93">
        <f>SUM(D59)</f>
        <v>42000</v>
      </c>
      <c r="E58" s="93">
        <f>SUM(E59)</f>
        <v>611130</v>
      </c>
      <c r="F58" s="93">
        <f t="shared" si="0"/>
        <v>-569130</v>
      </c>
      <c r="G58" s="94"/>
      <c r="H58" s="110"/>
    </row>
    <row r="59" spans="1:8" ht="17.25" customHeight="1" x14ac:dyDescent="0.3">
      <c r="A59" s="91"/>
      <c r="B59" s="96"/>
      <c r="C59" s="97" t="s">
        <v>64</v>
      </c>
      <c r="D59" s="112">
        <f>H59</f>
        <v>42000</v>
      </c>
      <c r="E59" s="112">
        <v>611130</v>
      </c>
      <c r="F59" s="112">
        <f t="shared" si="0"/>
        <v>-569130</v>
      </c>
      <c r="G59" s="113" t="s">
        <v>65</v>
      </c>
      <c r="H59" s="114">
        <v>42000</v>
      </c>
    </row>
    <row r="60" spans="1:8" x14ac:dyDescent="0.3">
      <c r="A60" s="85" t="s">
        <v>66</v>
      </c>
      <c r="B60" s="86"/>
      <c r="C60" s="86"/>
      <c r="D60" s="87">
        <f>SUM(D61,D66,D68)</f>
        <v>35620</v>
      </c>
      <c r="E60" s="87">
        <f>SUM(E61,E66,E68)</f>
        <v>28194</v>
      </c>
      <c r="F60" s="87">
        <f t="shared" si="0"/>
        <v>7426</v>
      </c>
      <c r="G60" s="89"/>
      <c r="H60" s="133"/>
    </row>
    <row r="61" spans="1:8" x14ac:dyDescent="0.3">
      <c r="A61" s="91"/>
      <c r="B61" s="109" t="s">
        <v>67</v>
      </c>
      <c r="C61" s="109"/>
      <c r="D61" s="93">
        <f>SUM(D62)</f>
        <v>35000</v>
      </c>
      <c r="E61" s="93">
        <f>SUM(E62)</f>
        <v>7200</v>
      </c>
      <c r="F61" s="93">
        <f t="shared" si="0"/>
        <v>27800</v>
      </c>
      <c r="G61" s="94"/>
      <c r="H61" s="110"/>
    </row>
    <row r="62" spans="1:8" x14ac:dyDescent="0.3">
      <c r="A62" s="91"/>
      <c r="B62" s="96"/>
      <c r="C62" s="97" t="s">
        <v>68</v>
      </c>
      <c r="D62" s="98">
        <f>H66</f>
        <v>35000</v>
      </c>
      <c r="E62" s="98">
        <v>7200</v>
      </c>
      <c r="F62" s="98">
        <f t="shared" si="0"/>
        <v>27800</v>
      </c>
      <c r="G62" s="134" t="s">
        <v>69</v>
      </c>
      <c r="H62" s="100">
        <v>3000</v>
      </c>
    </row>
    <row r="63" spans="1:8" x14ac:dyDescent="0.3">
      <c r="A63" s="91"/>
      <c r="B63" s="96"/>
      <c r="C63" s="96"/>
      <c r="D63" s="101"/>
      <c r="E63" s="101"/>
      <c r="F63" s="101">
        <f t="shared" si="0"/>
        <v>0</v>
      </c>
      <c r="G63" s="135" t="s">
        <v>70</v>
      </c>
      <c r="H63" s="102">
        <v>800</v>
      </c>
    </row>
    <row r="64" spans="1:8" x14ac:dyDescent="0.3">
      <c r="A64" s="91"/>
      <c r="B64" s="96"/>
      <c r="C64" s="96"/>
      <c r="D64" s="101"/>
      <c r="E64" s="101"/>
      <c r="F64" s="101">
        <f t="shared" si="0"/>
        <v>0</v>
      </c>
      <c r="G64" s="135" t="s">
        <v>71</v>
      </c>
      <c r="H64" s="102">
        <f>600*12</f>
        <v>7200</v>
      </c>
    </row>
    <row r="65" spans="1:8" x14ac:dyDescent="0.3">
      <c r="A65" s="91"/>
      <c r="B65" s="96"/>
      <c r="C65" s="96"/>
      <c r="D65" s="101"/>
      <c r="E65" s="101"/>
      <c r="F65" s="101">
        <f t="shared" si="0"/>
        <v>0</v>
      </c>
      <c r="G65" s="101" t="s">
        <v>72</v>
      </c>
      <c r="H65" s="101">
        <v>24000</v>
      </c>
    </row>
    <row r="66" spans="1:8" x14ac:dyDescent="0.3">
      <c r="A66" s="91"/>
      <c r="B66" s="109" t="s">
        <v>73</v>
      </c>
      <c r="C66" s="109"/>
      <c r="D66" s="93">
        <f>SUM(D67)</f>
        <v>0</v>
      </c>
      <c r="E66" s="93">
        <f>SUM(E67)</f>
        <v>20000</v>
      </c>
      <c r="F66" s="93">
        <f t="shared" si="0"/>
        <v>-20000</v>
      </c>
      <c r="G66" s="94"/>
      <c r="H66" s="110">
        <f>SUM(H62:H65)</f>
        <v>35000</v>
      </c>
    </row>
    <row r="67" spans="1:8" x14ac:dyDescent="0.3">
      <c r="A67" s="91"/>
      <c r="B67" s="96"/>
      <c r="C67" s="97" t="s">
        <v>74</v>
      </c>
      <c r="D67" s="130" t="s">
        <v>75</v>
      </c>
      <c r="E67" s="130">
        <v>20000</v>
      </c>
      <c r="F67" s="130" t="s">
        <v>75</v>
      </c>
      <c r="G67" s="131" t="s">
        <v>75</v>
      </c>
      <c r="H67" s="132" t="s">
        <v>75</v>
      </c>
    </row>
    <row r="68" spans="1:8" x14ac:dyDescent="0.3">
      <c r="A68" s="91"/>
      <c r="B68" s="109" t="s">
        <v>76</v>
      </c>
      <c r="C68" s="109"/>
      <c r="D68" s="93">
        <f>SUM(D69:D69)</f>
        <v>620</v>
      </c>
      <c r="E68" s="93">
        <f>SUM(E69:E69)</f>
        <v>994</v>
      </c>
      <c r="F68" s="93">
        <f t="shared" si="0"/>
        <v>-374</v>
      </c>
      <c r="G68" s="94"/>
      <c r="H68" s="110"/>
    </row>
    <row r="69" spans="1:8" x14ac:dyDescent="0.3">
      <c r="A69" s="91"/>
      <c r="B69" s="96"/>
      <c r="C69" s="97" t="s">
        <v>76</v>
      </c>
      <c r="D69" s="130">
        <f>H69</f>
        <v>620</v>
      </c>
      <c r="E69" s="130">
        <v>994</v>
      </c>
      <c r="F69" s="130" t="s">
        <v>77</v>
      </c>
      <c r="G69" s="134" t="s">
        <v>78</v>
      </c>
      <c r="H69" s="132">
        <v>620</v>
      </c>
    </row>
    <row r="70" spans="1:8" x14ac:dyDescent="0.3">
      <c r="A70" s="85" t="s">
        <v>79</v>
      </c>
      <c r="B70" s="86"/>
      <c r="C70" s="86"/>
      <c r="D70" s="87">
        <f>SUM(D71,D73)</f>
        <v>150000</v>
      </c>
      <c r="E70" s="87">
        <f>SUM(E71,E73)</f>
        <v>80000</v>
      </c>
      <c r="F70" s="87">
        <f t="shared" si="0"/>
        <v>70000</v>
      </c>
      <c r="G70" s="89"/>
      <c r="H70" s="133"/>
    </row>
    <row r="71" spans="1:8" x14ac:dyDescent="0.3">
      <c r="A71" s="91"/>
      <c r="B71" s="109" t="s">
        <v>80</v>
      </c>
      <c r="C71" s="109"/>
      <c r="D71" s="93">
        <f>SUM(D72)</f>
        <v>0</v>
      </c>
      <c r="E71" s="93"/>
      <c r="F71" s="93">
        <f t="shared" ref="F71:F87" si="2">D71-E71</f>
        <v>0</v>
      </c>
      <c r="G71" s="94"/>
      <c r="H71" s="110"/>
    </row>
    <row r="72" spans="1:8" x14ac:dyDescent="0.3">
      <c r="A72" s="91"/>
      <c r="B72" s="96"/>
      <c r="C72" s="107" t="s">
        <v>80</v>
      </c>
      <c r="D72" s="130" t="s">
        <v>77</v>
      </c>
      <c r="E72" s="130" t="s">
        <v>77</v>
      </c>
      <c r="F72" s="130" t="s">
        <v>77</v>
      </c>
      <c r="G72" s="131" t="s">
        <v>77</v>
      </c>
      <c r="H72" s="132" t="s">
        <v>77</v>
      </c>
    </row>
    <row r="73" spans="1:8" x14ac:dyDescent="0.3">
      <c r="A73" s="91"/>
      <c r="B73" s="109" t="s">
        <v>81</v>
      </c>
      <c r="C73" s="109"/>
      <c r="D73" s="93">
        <f>SUM(D74)</f>
        <v>150000</v>
      </c>
      <c r="E73" s="93">
        <f>SUM(E74)</f>
        <v>80000</v>
      </c>
      <c r="F73" s="93">
        <f t="shared" si="2"/>
        <v>70000</v>
      </c>
      <c r="G73" s="94"/>
      <c r="H73" s="110"/>
    </row>
    <row r="74" spans="1:8" x14ac:dyDescent="0.3">
      <c r="A74" s="91"/>
      <c r="B74" s="96"/>
      <c r="C74" s="111" t="s">
        <v>81</v>
      </c>
      <c r="D74" s="130">
        <v>150000</v>
      </c>
      <c r="E74" s="130">
        <v>80000</v>
      </c>
      <c r="F74" s="130" t="s">
        <v>77</v>
      </c>
      <c r="G74" s="136" t="s">
        <v>339</v>
      </c>
      <c r="H74" s="132">
        <v>150000</v>
      </c>
    </row>
    <row r="75" spans="1:8" x14ac:dyDescent="0.3">
      <c r="A75" s="85" t="s">
        <v>512</v>
      </c>
      <c r="B75" s="86"/>
      <c r="C75" s="86"/>
      <c r="D75" s="87">
        <f>SUM(D76)</f>
        <v>0</v>
      </c>
      <c r="E75" s="87"/>
      <c r="F75" s="87">
        <f t="shared" si="2"/>
        <v>0</v>
      </c>
      <c r="G75" s="89"/>
      <c r="H75" s="133"/>
    </row>
    <row r="76" spans="1:8" x14ac:dyDescent="0.3">
      <c r="A76" s="91"/>
      <c r="B76" s="109" t="s">
        <v>512</v>
      </c>
      <c r="C76" s="109"/>
      <c r="D76" s="93">
        <f>SUM(D77:D78)</f>
        <v>0</v>
      </c>
      <c r="E76" s="93"/>
      <c r="F76" s="93">
        <f t="shared" si="2"/>
        <v>0</v>
      </c>
      <c r="G76" s="94"/>
      <c r="H76" s="110"/>
    </row>
    <row r="77" spans="1:8" x14ac:dyDescent="0.3">
      <c r="A77" s="91"/>
      <c r="B77" s="96"/>
      <c r="C77" s="107" t="s">
        <v>82</v>
      </c>
      <c r="D77" s="130" t="s">
        <v>77</v>
      </c>
      <c r="E77" s="130" t="s">
        <v>77</v>
      </c>
      <c r="F77" s="130" t="s">
        <v>77</v>
      </c>
      <c r="G77" s="131" t="s">
        <v>77</v>
      </c>
      <c r="H77" s="132" t="s">
        <v>77</v>
      </c>
    </row>
    <row r="78" spans="1:8" x14ac:dyDescent="0.3">
      <c r="A78" s="91"/>
      <c r="B78" s="96"/>
      <c r="C78" s="111" t="s">
        <v>83</v>
      </c>
      <c r="D78" s="130" t="s">
        <v>77</v>
      </c>
      <c r="E78" s="130" t="s">
        <v>77</v>
      </c>
      <c r="F78" s="130" t="s">
        <v>77</v>
      </c>
      <c r="G78" s="131" t="s">
        <v>77</v>
      </c>
      <c r="H78" s="132" t="s">
        <v>77</v>
      </c>
    </row>
    <row r="79" spans="1:8" x14ac:dyDescent="0.3">
      <c r="A79" s="85" t="s">
        <v>84</v>
      </c>
      <c r="B79" s="86"/>
      <c r="C79" s="86"/>
      <c r="D79" s="87">
        <f>SUM(D80,D82,D84)</f>
        <v>900000</v>
      </c>
      <c r="E79" s="87">
        <f>SUM(E80,E82)</f>
        <v>200000</v>
      </c>
      <c r="F79" s="87">
        <f t="shared" si="2"/>
        <v>700000</v>
      </c>
      <c r="G79" s="89"/>
      <c r="H79" s="133"/>
    </row>
    <row r="80" spans="1:8" x14ac:dyDescent="0.3">
      <c r="A80" s="91"/>
      <c r="B80" s="109" t="s">
        <v>503</v>
      </c>
      <c r="C80" s="109"/>
      <c r="D80" s="93">
        <f>SUM(D81)</f>
        <v>0</v>
      </c>
      <c r="E80" s="93"/>
      <c r="F80" s="93">
        <f t="shared" si="2"/>
        <v>0</v>
      </c>
      <c r="G80" s="94"/>
      <c r="H80" s="110"/>
    </row>
    <row r="81" spans="1:8" x14ac:dyDescent="0.3">
      <c r="A81" s="91"/>
      <c r="B81" s="96"/>
      <c r="C81" s="107" t="s">
        <v>503</v>
      </c>
      <c r="D81" s="130" t="s">
        <v>77</v>
      </c>
      <c r="E81" s="130" t="s">
        <v>77</v>
      </c>
      <c r="F81" s="130" t="s">
        <v>77</v>
      </c>
      <c r="G81" s="131" t="s">
        <v>77</v>
      </c>
      <c r="H81" s="132" t="s">
        <v>77</v>
      </c>
    </row>
    <row r="82" spans="1:8" x14ac:dyDescent="0.3">
      <c r="A82" s="91"/>
      <c r="B82" s="109" t="s">
        <v>85</v>
      </c>
      <c r="C82" s="109"/>
      <c r="D82" s="93">
        <f>SUM(D83)</f>
        <v>900000</v>
      </c>
      <c r="E82" s="93">
        <f>SUM(E83)</f>
        <v>200000</v>
      </c>
      <c r="F82" s="93">
        <f t="shared" si="2"/>
        <v>700000</v>
      </c>
      <c r="G82" s="94"/>
      <c r="H82" s="110"/>
    </row>
    <row r="83" spans="1:8" x14ac:dyDescent="0.3">
      <c r="A83" s="91"/>
      <c r="B83" s="96"/>
      <c r="C83" s="111" t="s">
        <v>86</v>
      </c>
      <c r="D83" s="130">
        <f>H83</f>
        <v>900000</v>
      </c>
      <c r="E83" s="130">
        <v>200000</v>
      </c>
      <c r="F83" s="130" t="s">
        <v>77</v>
      </c>
      <c r="G83" s="136" t="s">
        <v>494</v>
      </c>
      <c r="H83" s="132">
        <v>900000</v>
      </c>
    </row>
    <row r="84" spans="1:8" x14ac:dyDescent="0.3">
      <c r="A84" s="91"/>
      <c r="B84" s="109" t="s">
        <v>499</v>
      </c>
      <c r="C84" s="109"/>
      <c r="D84" s="93">
        <f>SUM(D85)</f>
        <v>0</v>
      </c>
      <c r="E84" s="93"/>
      <c r="F84" s="93">
        <f t="shared" ref="F84" si="3">D84-E84</f>
        <v>0</v>
      </c>
      <c r="G84" s="94"/>
      <c r="H84" s="110"/>
    </row>
    <row r="85" spans="1:8" x14ac:dyDescent="0.3">
      <c r="A85" s="91"/>
      <c r="B85" s="96"/>
      <c r="C85" s="111" t="s">
        <v>499</v>
      </c>
      <c r="D85" s="130" t="s">
        <v>56</v>
      </c>
      <c r="E85" s="130" t="s">
        <v>56</v>
      </c>
      <c r="F85" s="130" t="s">
        <v>56</v>
      </c>
      <c r="G85" s="131" t="s">
        <v>56</v>
      </c>
      <c r="H85" s="132" t="s">
        <v>56</v>
      </c>
    </row>
    <row r="86" spans="1:8" x14ac:dyDescent="0.3">
      <c r="A86" s="85" t="s">
        <v>87</v>
      </c>
      <c r="B86" s="86"/>
      <c r="C86" s="86"/>
      <c r="D86" s="87">
        <f>SUM(D87)</f>
        <v>350000</v>
      </c>
      <c r="E86" s="87">
        <f>SUM(E87)</f>
        <v>1843632</v>
      </c>
      <c r="F86" s="87">
        <f t="shared" si="2"/>
        <v>-1493632</v>
      </c>
      <c r="G86" s="89"/>
      <c r="H86" s="133"/>
    </row>
    <row r="87" spans="1:8" x14ac:dyDescent="0.3">
      <c r="A87" s="91"/>
      <c r="B87" s="109" t="s">
        <v>500</v>
      </c>
      <c r="C87" s="109"/>
      <c r="D87" s="93">
        <f>SUM(D88:D89)</f>
        <v>350000</v>
      </c>
      <c r="E87" s="93">
        <f>SUM(E88:E89)</f>
        <v>1843632</v>
      </c>
      <c r="F87" s="93">
        <f t="shared" si="2"/>
        <v>-1493632</v>
      </c>
      <c r="G87" s="94"/>
      <c r="H87" s="110"/>
    </row>
    <row r="88" spans="1:8" x14ac:dyDescent="0.3">
      <c r="A88" s="91"/>
      <c r="B88" s="96"/>
      <c r="C88" s="97" t="s">
        <v>501</v>
      </c>
      <c r="D88" s="112"/>
      <c r="E88" s="112"/>
      <c r="F88" s="112"/>
      <c r="G88" s="113"/>
      <c r="H88" s="114"/>
    </row>
    <row r="89" spans="1:8" x14ac:dyDescent="0.3">
      <c r="A89" s="91"/>
      <c r="B89" s="96"/>
      <c r="C89" s="111" t="s">
        <v>502</v>
      </c>
      <c r="D89" s="112">
        <f>H89</f>
        <v>350000</v>
      </c>
      <c r="E89" s="112">
        <v>1843632</v>
      </c>
      <c r="F89" s="112">
        <f t="shared" ref="F89" si="4">D89-E89</f>
        <v>-1493632</v>
      </c>
      <c r="G89" s="151" t="s">
        <v>369</v>
      </c>
      <c r="H89" s="152">
        <v>350000</v>
      </c>
    </row>
    <row r="90" spans="1:8" ht="17.25" thickBot="1" x14ac:dyDescent="0.35">
      <c r="A90" s="137" t="s">
        <v>88</v>
      </c>
      <c r="B90" s="138"/>
      <c r="C90" s="138"/>
      <c r="D90" s="139">
        <f>D86+D60+D43+D5+D70+D75+D79</f>
        <v>11340900</v>
      </c>
      <c r="E90" s="139">
        <f>E86+E60+E43+E5+E70+E75+E79</f>
        <v>12830490</v>
      </c>
      <c r="F90" s="139">
        <f>D90-E90</f>
        <v>-1489590</v>
      </c>
      <c r="G90" s="140"/>
      <c r="H90" s="141"/>
    </row>
    <row r="91" spans="1:8" x14ac:dyDescent="0.3">
      <c r="A91" s="142"/>
      <c r="B91" s="142"/>
      <c r="C91" s="142"/>
      <c r="D91" s="143"/>
      <c r="E91" s="76"/>
      <c r="F91" s="76"/>
      <c r="H91" s="82"/>
    </row>
  </sheetData>
  <mergeCells count="5">
    <mergeCell ref="A1:H1"/>
    <mergeCell ref="D3:D4"/>
    <mergeCell ref="E3:E4"/>
    <mergeCell ref="F3:F4"/>
    <mergeCell ref="G3:H4"/>
  </mergeCells>
  <phoneticPr fontId="2" type="noConversion"/>
  <pageMargins left="0.39370078740157483" right="0.39370078740157483" top="0.74803149606299213" bottom="0.74803149606299213" header="0.31496062992125984" footer="0.31496062992125984"/>
  <pageSetup paperSize="9" scale="62" fitToHeight="0" orientation="portrait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4"/>
  <sheetViews>
    <sheetView topLeftCell="A394" zoomScale="145" zoomScaleNormal="145" workbookViewId="0">
      <selection activeCell="G181" sqref="G181"/>
    </sheetView>
  </sheetViews>
  <sheetFormatPr defaultColWidth="9" defaultRowHeight="16.5" x14ac:dyDescent="0.3"/>
  <cols>
    <col min="1" max="2" width="4.25" style="1" customWidth="1"/>
    <col min="3" max="3" width="10" style="1" customWidth="1"/>
    <col min="4" max="4" width="13.5" style="1" customWidth="1"/>
    <col min="5" max="5" width="12.375" style="1" customWidth="1"/>
    <col min="6" max="6" width="12.25" style="1" customWidth="1"/>
    <col min="7" max="7" width="42.875" style="2" customWidth="1"/>
    <col min="8" max="8" width="14.25" style="2" bestFit="1" customWidth="1"/>
    <col min="9" max="9" width="15.875" style="2" bestFit="1" customWidth="1"/>
    <col min="10" max="16384" width="9" style="1"/>
  </cols>
  <sheetData>
    <row r="1" spans="1:9" ht="33.75" x14ac:dyDescent="0.3">
      <c r="A1" s="238" t="s">
        <v>409</v>
      </c>
      <c r="B1" s="239"/>
      <c r="C1" s="239"/>
      <c r="D1" s="239"/>
      <c r="E1" s="239"/>
      <c r="F1" s="239"/>
      <c r="G1" s="239"/>
      <c r="H1" s="239"/>
    </row>
    <row r="2" spans="1:9" ht="17.25" thickBot="1" x14ac:dyDescent="0.35">
      <c r="A2" s="74"/>
      <c r="B2" s="75"/>
      <c r="C2" s="74"/>
      <c r="D2" s="73"/>
      <c r="E2" s="73"/>
      <c r="F2" s="73"/>
      <c r="G2" s="72"/>
      <c r="H2" s="71"/>
      <c r="I2" s="2" t="s">
        <v>89</v>
      </c>
    </row>
    <row r="3" spans="1:9" x14ac:dyDescent="0.3">
      <c r="A3" s="70" t="s">
        <v>14</v>
      </c>
      <c r="B3" s="69"/>
      <c r="C3" s="68"/>
      <c r="D3" s="240" t="s">
        <v>15</v>
      </c>
      <c r="E3" s="240" t="s">
        <v>17</v>
      </c>
      <c r="F3" s="240" t="s">
        <v>19</v>
      </c>
      <c r="G3" s="242" t="s">
        <v>90</v>
      </c>
      <c r="H3" s="243"/>
    </row>
    <row r="4" spans="1:9" x14ac:dyDescent="0.3">
      <c r="A4" s="67" t="s">
        <v>22</v>
      </c>
      <c r="B4" s="66" t="s">
        <v>24</v>
      </c>
      <c r="C4" s="65" t="s">
        <v>26</v>
      </c>
      <c r="D4" s="241"/>
      <c r="E4" s="241"/>
      <c r="F4" s="241"/>
      <c r="G4" s="244"/>
      <c r="H4" s="245"/>
    </row>
    <row r="5" spans="1:9" x14ac:dyDescent="0.3">
      <c r="A5" s="17" t="s">
        <v>91</v>
      </c>
      <c r="B5" s="16"/>
      <c r="C5" s="15"/>
      <c r="D5" s="14">
        <f>D6+D27</f>
        <v>6005060</v>
      </c>
      <c r="E5" s="14">
        <f>E6+E27</f>
        <v>6272686</v>
      </c>
      <c r="F5" s="14">
        <f>D5-E5</f>
        <v>-267626</v>
      </c>
      <c r="G5" s="13"/>
      <c r="H5" s="64"/>
    </row>
    <row r="6" spans="1:9" x14ac:dyDescent="0.3">
      <c r="A6" s="9"/>
      <c r="B6" s="59" t="s">
        <v>92</v>
      </c>
      <c r="C6" s="63"/>
      <c r="D6" s="62">
        <f>SUM(D7:D7)</f>
        <v>4626800</v>
      </c>
      <c r="E6" s="62">
        <f>SUM(E7:E7)</f>
        <v>4758266</v>
      </c>
      <c r="F6" s="62">
        <f>D6-E6</f>
        <v>-131466</v>
      </c>
      <c r="G6" s="61"/>
      <c r="H6" s="60"/>
    </row>
    <row r="7" spans="1:9" x14ac:dyDescent="0.3">
      <c r="A7" s="9"/>
      <c r="B7" s="8"/>
      <c r="C7" s="7" t="s">
        <v>92</v>
      </c>
      <c r="D7" s="47">
        <f>H26</f>
        <v>4626800</v>
      </c>
      <c r="E7" s="47">
        <v>4758266</v>
      </c>
      <c r="F7" s="47">
        <f>D7-E7</f>
        <v>-131466</v>
      </c>
      <c r="G7" s="35" t="s">
        <v>93</v>
      </c>
      <c r="H7" s="34"/>
    </row>
    <row r="8" spans="1:9" x14ac:dyDescent="0.3">
      <c r="A8" s="9"/>
      <c r="B8" s="8"/>
      <c r="C8" s="32"/>
      <c r="D8" s="31"/>
      <c r="E8" s="31"/>
      <c r="F8" s="31"/>
      <c r="G8" s="36" t="s">
        <v>94</v>
      </c>
      <c r="H8" s="29">
        <f>3800*58*12</f>
        <v>2644800</v>
      </c>
      <c r="I8" s="2" t="s">
        <v>1</v>
      </c>
    </row>
    <row r="9" spans="1:9" x14ac:dyDescent="0.3">
      <c r="A9" s="9"/>
      <c r="B9" s="8"/>
      <c r="C9" s="32"/>
      <c r="D9" s="31"/>
      <c r="E9" s="31"/>
      <c r="F9" s="31"/>
      <c r="G9" s="36" t="s">
        <v>95</v>
      </c>
      <c r="H9" s="29">
        <f>15200*12</f>
        <v>182400</v>
      </c>
      <c r="I9" s="2" t="s">
        <v>1</v>
      </c>
    </row>
    <row r="10" spans="1:9" x14ac:dyDescent="0.3">
      <c r="A10" s="9"/>
      <c r="B10" s="8"/>
      <c r="C10" s="32"/>
      <c r="D10" s="31"/>
      <c r="E10" s="31"/>
      <c r="F10" s="31"/>
      <c r="G10" s="36" t="s">
        <v>96</v>
      </c>
      <c r="H10" s="29">
        <f>700*12</f>
        <v>8400</v>
      </c>
      <c r="I10" s="2" t="s">
        <v>1</v>
      </c>
    </row>
    <row r="11" spans="1:9" x14ac:dyDescent="0.3">
      <c r="A11" s="9"/>
      <c r="B11" s="8"/>
      <c r="C11" s="32"/>
      <c r="D11" s="31"/>
      <c r="E11" s="31"/>
      <c r="F11" s="31"/>
      <c r="G11" s="36" t="s">
        <v>97</v>
      </c>
      <c r="H11" s="29">
        <f>300*13*12</f>
        <v>46800</v>
      </c>
      <c r="I11" s="2" t="s">
        <v>1</v>
      </c>
    </row>
    <row r="12" spans="1:9" x14ac:dyDescent="0.3">
      <c r="A12" s="9"/>
      <c r="B12" s="8"/>
      <c r="C12" s="32"/>
      <c r="D12" s="31"/>
      <c r="E12" s="31"/>
      <c r="F12" s="31"/>
      <c r="G12" s="36" t="s">
        <v>98</v>
      </c>
      <c r="H12" s="29">
        <f>1500*38*12</f>
        <v>684000</v>
      </c>
      <c r="I12" s="2" t="s">
        <v>99</v>
      </c>
    </row>
    <row r="13" spans="1:9" x14ac:dyDescent="0.3">
      <c r="A13" s="9"/>
      <c r="B13" s="8"/>
      <c r="C13" s="32"/>
      <c r="D13" s="31"/>
      <c r="E13" s="31"/>
      <c r="F13" s="31"/>
      <c r="G13" s="36" t="s">
        <v>100</v>
      </c>
      <c r="H13" s="29">
        <f>200*3*12</f>
        <v>7200</v>
      </c>
      <c r="I13" s="2" t="s">
        <v>101</v>
      </c>
    </row>
    <row r="14" spans="1:9" x14ac:dyDescent="0.3">
      <c r="A14" s="9"/>
      <c r="B14" s="8"/>
      <c r="C14" s="32"/>
      <c r="D14" s="31"/>
      <c r="E14" s="31"/>
      <c r="F14" s="31"/>
      <c r="G14" s="36" t="s">
        <v>102</v>
      </c>
      <c r="H14" s="29">
        <f>200*2*11*12</f>
        <v>52800</v>
      </c>
      <c r="I14" s="2" t="s">
        <v>101</v>
      </c>
    </row>
    <row r="15" spans="1:9" x14ac:dyDescent="0.3">
      <c r="A15" s="9"/>
      <c r="B15" s="8"/>
      <c r="C15" s="32"/>
      <c r="D15" s="31"/>
      <c r="E15" s="31"/>
      <c r="F15" s="31"/>
      <c r="G15" s="36" t="s">
        <v>103</v>
      </c>
      <c r="H15" s="29">
        <f>200*2*3*12</f>
        <v>14400</v>
      </c>
      <c r="I15" s="2" t="s">
        <v>99</v>
      </c>
    </row>
    <row r="16" spans="1:9" x14ac:dyDescent="0.3">
      <c r="A16" s="9"/>
      <c r="B16" s="8"/>
      <c r="C16" s="32"/>
      <c r="D16" s="31"/>
      <c r="E16" s="31"/>
      <c r="F16" s="31"/>
      <c r="G16" s="36" t="s">
        <v>104</v>
      </c>
      <c r="H16" s="29">
        <f>200*2*3*12</f>
        <v>14400</v>
      </c>
      <c r="I16" s="2" t="s">
        <v>99</v>
      </c>
    </row>
    <row r="17" spans="1:9" x14ac:dyDescent="0.3">
      <c r="A17" s="9"/>
      <c r="B17" s="8"/>
      <c r="C17" s="32"/>
      <c r="D17" s="31"/>
      <c r="E17" s="31"/>
      <c r="F17" s="31"/>
      <c r="G17" s="36" t="s">
        <v>105</v>
      </c>
      <c r="H17" s="29">
        <f>9000*12</f>
        <v>108000</v>
      </c>
      <c r="I17" s="2" t="s">
        <v>101</v>
      </c>
    </row>
    <row r="18" spans="1:9" x14ac:dyDescent="0.3">
      <c r="A18" s="9"/>
      <c r="B18" s="8"/>
      <c r="C18" s="32"/>
      <c r="D18" s="31"/>
      <c r="E18" s="31"/>
      <c r="F18" s="31"/>
      <c r="G18" s="36" t="s">
        <v>106</v>
      </c>
      <c r="H18" s="29">
        <f>100*3*12</f>
        <v>3600</v>
      </c>
      <c r="I18" s="2" t="s">
        <v>107</v>
      </c>
    </row>
    <row r="19" spans="1:9" x14ac:dyDescent="0.3">
      <c r="A19" s="9"/>
      <c r="B19" s="8"/>
      <c r="C19" s="32"/>
      <c r="D19" s="31"/>
      <c r="E19" s="31"/>
      <c r="F19" s="31"/>
      <c r="G19" s="36" t="s">
        <v>108</v>
      </c>
      <c r="H19" s="29">
        <f>10*3*10*12</f>
        <v>3600</v>
      </c>
      <c r="I19" s="2" t="s">
        <v>107</v>
      </c>
    </row>
    <row r="20" spans="1:9" x14ac:dyDescent="0.3">
      <c r="A20" s="9"/>
      <c r="B20" s="8"/>
      <c r="C20" s="32"/>
      <c r="D20" s="31"/>
      <c r="E20" s="31"/>
      <c r="F20" s="31"/>
      <c r="G20" s="36" t="s">
        <v>109</v>
      </c>
      <c r="H20" s="29">
        <f>8000*12</f>
        <v>96000</v>
      </c>
      <c r="I20" s="2" t="s">
        <v>110</v>
      </c>
    </row>
    <row r="21" spans="1:9" x14ac:dyDescent="0.3">
      <c r="A21" s="9"/>
      <c r="B21" s="8"/>
      <c r="C21" s="32"/>
      <c r="D21" s="31"/>
      <c r="E21" s="31"/>
      <c r="F21" s="31"/>
      <c r="G21" s="36" t="s">
        <v>111</v>
      </c>
      <c r="H21" s="29">
        <f>40000*2</f>
        <v>80000</v>
      </c>
      <c r="I21" s="2" t="s">
        <v>112</v>
      </c>
    </row>
    <row r="22" spans="1:9" x14ac:dyDescent="0.3">
      <c r="A22" s="9"/>
      <c r="B22" s="8"/>
      <c r="C22" s="32"/>
      <c r="D22" s="31"/>
      <c r="E22" s="31"/>
      <c r="F22" s="31"/>
      <c r="G22" s="36" t="s">
        <v>113</v>
      </c>
      <c r="H22" s="29">
        <f>25000*12*0.17</f>
        <v>51000.000000000007</v>
      </c>
      <c r="I22" s="2" t="s">
        <v>110</v>
      </c>
    </row>
    <row r="23" spans="1:9" x14ac:dyDescent="0.3">
      <c r="A23" s="9"/>
      <c r="B23" s="8"/>
      <c r="C23" s="32"/>
      <c r="D23" s="31"/>
      <c r="E23" s="31"/>
      <c r="F23" s="31"/>
      <c r="G23" s="36" t="s">
        <v>114</v>
      </c>
      <c r="H23" s="29">
        <f>4000*12</f>
        <v>48000</v>
      </c>
      <c r="I23" s="2" t="s">
        <v>110</v>
      </c>
    </row>
    <row r="24" spans="1:9" x14ac:dyDescent="0.3">
      <c r="A24" s="9"/>
      <c r="B24" s="8"/>
      <c r="C24" s="32"/>
      <c r="D24" s="31"/>
      <c r="E24" s="31"/>
      <c r="F24" s="31"/>
      <c r="G24" s="36" t="s">
        <v>343</v>
      </c>
      <c r="H24" s="29">
        <f>1200*40*12</f>
        <v>576000</v>
      </c>
      <c r="I24" s="2" t="s">
        <v>112</v>
      </c>
    </row>
    <row r="25" spans="1:9" x14ac:dyDescent="0.3">
      <c r="A25" s="9"/>
      <c r="B25" s="8"/>
      <c r="C25" s="32"/>
      <c r="D25" s="31"/>
      <c r="E25" s="31"/>
      <c r="F25" s="31"/>
      <c r="G25" s="36" t="s">
        <v>115</v>
      </c>
      <c r="H25" s="29">
        <f>10*3*20*9</f>
        <v>5400</v>
      </c>
      <c r="I25" s="2" t="s">
        <v>112</v>
      </c>
    </row>
    <row r="26" spans="1:9" x14ac:dyDescent="0.3">
      <c r="A26" s="9"/>
      <c r="B26" s="8"/>
      <c r="C26" s="19"/>
      <c r="D26" s="48"/>
      <c r="E26" s="48"/>
      <c r="F26" s="48"/>
      <c r="G26" s="167" t="s">
        <v>116</v>
      </c>
      <c r="H26" s="168">
        <f>SUM(H8:H25)</f>
        <v>4626800</v>
      </c>
    </row>
    <row r="27" spans="1:9" x14ac:dyDescent="0.3">
      <c r="A27" s="9"/>
      <c r="B27" s="12" t="s">
        <v>117</v>
      </c>
      <c r="C27" s="11"/>
      <c r="D27" s="10">
        <f>SUM(D28)</f>
        <v>1378260</v>
      </c>
      <c r="E27" s="10">
        <f>E28</f>
        <v>1514420</v>
      </c>
      <c r="F27" s="10">
        <f>D27-E27</f>
        <v>-136160</v>
      </c>
      <c r="G27" s="169"/>
      <c r="H27" s="170"/>
    </row>
    <row r="28" spans="1:9" x14ac:dyDescent="0.3">
      <c r="A28" s="9"/>
      <c r="B28" s="8"/>
      <c r="C28" s="7" t="s">
        <v>10</v>
      </c>
      <c r="D28" s="47">
        <f>H43+H52+H55</f>
        <v>1378260</v>
      </c>
      <c r="E28" s="47">
        <v>1514420</v>
      </c>
      <c r="F28" s="47">
        <f>D28-E28</f>
        <v>-136160</v>
      </c>
      <c r="G28" s="35" t="s">
        <v>118</v>
      </c>
      <c r="H28" s="34"/>
    </row>
    <row r="29" spans="1:9" x14ac:dyDescent="0.3">
      <c r="A29" s="9"/>
      <c r="B29" s="8"/>
      <c r="C29" s="32"/>
      <c r="D29" s="31"/>
      <c r="E29" s="31"/>
      <c r="F29" s="31"/>
      <c r="G29" s="36" t="s">
        <v>119</v>
      </c>
      <c r="H29" s="29">
        <f>3500*18*12</f>
        <v>756000</v>
      </c>
      <c r="I29" s="2" t="s">
        <v>101</v>
      </c>
    </row>
    <row r="30" spans="1:9" x14ac:dyDescent="0.3">
      <c r="A30" s="9"/>
      <c r="B30" s="8"/>
      <c r="C30" s="32"/>
      <c r="D30" s="31"/>
      <c r="E30" s="31"/>
      <c r="F30" s="31"/>
      <c r="G30" s="36" t="s">
        <v>120</v>
      </c>
      <c r="H30" s="29">
        <f>2200*12</f>
        <v>26400</v>
      </c>
      <c r="I30" s="2" t="s">
        <v>107</v>
      </c>
    </row>
    <row r="31" spans="1:9" x14ac:dyDescent="0.3">
      <c r="A31" s="9"/>
      <c r="B31" s="8"/>
      <c r="C31" s="32"/>
      <c r="D31" s="31"/>
      <c r="E31" s="31"/>
      <c r="F31" s="31"/>
      <c r="G31" s="36" t="s">
        <v>121</v>
      </c>
      <c r="H31" s="29">
        <f>500*12</f>
        <v>6000</v>
      </c>
      <c r="I31" s="2" t="s">
        <v>99</v>
      </c>
    </row>
    <row r="32" spans="1:9" x14ac:dyDescent="0.3">
      <c r="A32" s="9"/>
      <c r="B32" s="8"/>
      <c r="C32" s="32"/>
      <c r="D32" s="31"/>
      <c r="E32" s="31"/>
      <c r="F32" s="31"/>
      <c r="G32" s="36" t="s">
        <v>122</v>
      </c>
      <c r="H32" s="29">
        <f>300*3*12</f>
        <v>10800</v>
      </c>
      <c r="I32" s="2" t="s">
        <v>99</v>
      </c>
    </row>
    <row r="33" spans="1:9" x14ac:dyDescent="0.3">
      <c r="A33" s="9"/>
      <c r="B33" s="8"/>
      <c r="C33" s="32"/>
      <c r="D33" s="31"/>
      <c r="E33" s="31"/>
      <c r="F33" s="31"/>
      <c r="G33" s="36" t="s">
        <v>123</v>
      </c>
      <c r="H33" s="29">
        <f>200*2*12</f>
        <v>4800</v>
      </c>
      <c r="I33" s="2" t="s">
        <v>99</v>
      </c>
    </row>
    <row r="34" spans="1:9" x14ac:dyDescent="0.3">
      <c r="A34" s="9"/>
      <c r="B34" s="8"/>
      <c r="C34" s="32"/>
      <c r="D34" s="31"/>
      <c r="E34" s="31"/>
      <c r="F34" s="31"/>
      <c r="G34" s="36" t="s">
        <v>124</v>
      </c>
      <c r="H34" s="29">
        <f>1500*8*12</f>
        <v>144000</v>
      </c>
      <c r="I34" s="2" t="s">
        <v>112</v>
      </c>
    </row>
    <row r="35" spans="1:9" x14ac:dyDescent="0.3">
      <c r="A35" s="9"/>
      <c r="B35" s="8"/>
      <c r="C35" s="32"/>
      <c r="D35" s="31"/>
      <c r="E35" s="31"/>
      <c r="F35" s="31"/>
      <c r="G35" s="36" t="s">
        <v>125</v>
      </c>
      <c r="H35" s="29">
        <f>6000*12</f>
        <v>72000</v>
      </c>
      <c r="I35" s="2" t="s">
        <v>126</v>
      </c>
    </row>
    <row r="36" spans="1:9" x14ac:dyDescent="0.3">
      <c r="A36" s="9"/>
      <c r="B36" s="8"/>
      <c r="C36" s="32"/>
      <c r="D36" s="31"/>
      <c r="E36" s="31"/>
      <c r="F36" s="31"/>
      <c r="G36" s="36" t="s">
        <v>127</v>
      </c>
      <c r="H36" s="29">
        <f>4000*12</f>
        <v>48000</v>
      </c>
      <c r="I36" s="2" t="s">
        <v>107</v>
      </c>
    </row>
    <row r="37" spans="1:9" x14ac:dyDescent="0.3">
      <c r="A37" s="9"/>
      <c r="B37" s="8"/>
      <c r="C37" s="32"/>
      <c r="D37" s="31"/>
      <c r="E37" s="31"/>
      <c r="F37" s="31"/>
      <c r="G37" s="36" t="s">
        <v>128</v>
      </c>
      <c r="H37" s="29">
        <f>10000*2</f>
        <v>20000</v>
      </c>
      <c r="I37" s="2" t="s">
        <v>99</v>
      </c>
    </row>
    <row r="38" spans="1:9" x14ac:dyDescent="0.3">
      <c r="A38" s="9"/>
      <c r="B38" s="8"/>
      <c r="C38" s="32"/>
      <c r="D38" s="31"/>
      <c r="E38" s="31"/>
      <c r="F38" s="31"/>
      <c r="G38" s="36" t="s">
        <v>129</v>
      </c>
      <c r="H38" s="29">
        <f>1000*12</f>
        <v>12000</v>
      </c>
      <c r="I38" s="2" t="s">
        <v>112</v>
      </c>
    </row>
    <row r="39" spans="1:9" x14ac:dyDescent="0.3">
      <c r="A39" s="9"/>
      <c r="B39" s="8"/>
      <c r="C39" s="32"/>
      <c r="D39" s="31"/>
      <c r="E39" s="31"/>
      <c r="F39" s="31"/>
      <c r="G39" s="36" t="s">
        <v>130</v>
      </c>
      <c r="H39" s="29">
        <f>10000*12*0.17</f>
        <v>20400</v>
      </c>
      <c r="I39" s="2" t="s">
        <v>112</v>
      </c>
    </row>
    <row r="40" spans="1:9" x14ac:dyDescent="0.3">
      <c r="A40" s="9"/>
      <c r="B40" s="8"/>
      <c r="C40" s="32"/>
      <c r="D40" s="31"/>
      <c r="E40" s="31"/>
      <c r="F40" s="31"/>
      <c r="G40" s="36" t="s">
        <v>131</v>
      </c>
      <c r="H40" s="29">
        <f>2000*12</f>
        <v>24000</v>
      </c>
      <c r="I40" s="2" t="s">
        <v>112</v>
      </c>
    </row>
    <row r="41" spans="1:9" x14ac:dyDescent="0.3">
      <c r="A41" s="9"/>
      <c r="B41" s="8"/>
      <c r="C41" s="32"/>
      <c r="D41" s="31"/>
      <c r="E41" s="31"/>
      <c r="F41" s="31"/>
      <c r="G41" s="36" t="s">
        <v>344</v>
      </c>
      <c r="H41" s="29">
        <f>1200*6*12</f>
        <v>86400</v>
      </c>
      <c r="I41" s="2" t="s">
        <v>99</v>
      </c>
    </row>
    <row r="42" spans="1:9" x14ac:dyDescent="0.3">
      <c r="A42" s="9"/>
      <c r="B42" s="8"/>
      <c r="C42" s="32"/>
      <c r="D42" s="31"/>
      <c r="E42" s="31"/>
      <c r="F42" s="31"/>
      <c r="G42" s="36" t="s">
        <v>132</v>
      </c>
      <c r="H42" s="29">
        <f>10*3*20*9</f>
        <v>5400</v>
      </c>
      <c r="I42" s="2" t="s">
        <v>99</v>
      </c>
    </row>
    <row r="43" spans="1:9" x14ac:dyDescent="0.3">
      <c r="A43" s="9"/>
      <c r="B43" s="8"/>
      <c r="C43" s="32"/>
      <c r="D43" s="31"/>
      <c r="E43" s="31"/>
      <c r="F43" s="31"/>
      <c r="G43" s="165" t="s">
        <v>40</v>
      </c>
      <c r="H43" s="166">
        <f>SUM(H29:H42)</f>
        <v>1236200</v>
      </c>
    </row>
    <row r="44" spans="1:9" x14ac:dyDescent="0.3">
      <c r="A44" s="9"/>
      <c r="B44" s="8"/>
      <c r="C44" s="32"/>
      <c r="D44" s="31"/>
      <c r="E44" s="31"/>
      <c r="F44" s="31"/>
      <c r="G44" s="35" t="s">
        <v>133</v>
      </c>
      <c r="H44" s="34"/>
    </row>
    <row r="45" spans="1:9" x14ac:dyDescent="0.3">
      <c r="A45" s="9"/>
      <c r="B45" s="8"/>
      <c r="C45" s="32"/>
      <c r="D45" s="31"/>
      <c r="E45" s="31"/>
      <c r="F45" s="31"/>
      <c r="G45" s="164" t="s">
        <v>134</v>
      </c>
      <c r="H45" s="29"/>
    </row>
    <row r="46" spans="1:9" x14ac:dyDescent="0.3">
      <c r="A46" s="9"/>
      <c r="B46" s="8"/>
      <c r="C46" s="32"/>
      <c r="D46" s="31"/>
      <c r="E46" s="31"/>
      <c r="F46" s="31"/>
      <c r="G46" s="30" t="s">
        <v>364</v>
      </c>
      <c r="H46" s="29">
        <f>8500*8</f>
        <v>68000</v>
      </c>
      <c r="I46" s="2" t="s">
        <v>101</v>
      </c>
    </row>
    <row r="47" spans="1:9" x14ac:dyDescent="0.3">
      <c r="A47" s="9"/>
      <c r="B47" s="8"/>
      <c r="C47" s="32"/>
      <c r="D47" s="31"/>
      <c r="E47" s="31"/>
      <c r="F47" s="31"/>
      <c r="G47" s="30" t="s">
        <v>436</v>
      </c>
      <c r="H47" s="29">
        <f>60*7*24</f>
        <v>10080</v>
      </c>
      <c r="I47" s="2" t="s">
        <v>437</v>
      </c>
    </row>
    <row r="48" spans="1:9" x14ac:dyDescent="0.3">
      <c r="A48" s="9"/>
      <c r="B48" s="8"/>
      <c r="C48" s="32"/>
      <c r="D48" s="31"/>
      <c r="E48" s="31"/>
      <c r="F48" s="31"/>
      <c r="G48" s="30" t="s">
        <v>135</v>
      </c>
      <c r="H48" s="29">
        <f>60*5*3*8</f>
        <v>7200</v>
      </c>
      <c r="I48" s="2" t="s">
        <v>101</v>
      </c>
    </row>
    <row r="49" spans="1:9" x14ac:dyDescent="0.3">
      <c r="A49" s="9"/>
      <c r="B49" s="8"/>
      <c r="C49" s="32"/>
      <c r="D49" s="31"/>
      <c r="E49" s="31"/>
      <c r="F49" s="31"/>
      <c r="G49" s="164" t="s">
        <v>136</v>
      </c>
      <c r="H49" s="29"/>
    </row>
    <row r="50" spans="1:9" x14ac:dyDescent="0.3">
      <c r="A50" s="9"/>
      <c r="B50" s="8"/>
      <c r="C50" s="32"/>
      <c r="D50" s="31"/>
      <c r="E50" s="31"/>
      <c r="F50" s="31"/>
      <c r="G50" s="171" t="s">
        <v>137</v>
      </c>
      <c r="H50" s="43">
        <f>13*3*20*9*3</f>
        <v>21060</v>
      </c>
      <c r="I50" s="2" t="s">
        <v>101</v>
      </c>
    </row>
    <row r="51" spans="1:9" ht="24" x14ac:dyDescent="0.3">
      <c r="A51" s="9"/>
      <c r="B51" s="8"/>
      <c r="C51" s="32"/>
      <c r="D51" s="31"/>
      <c r="E51" s="31"/>
      <c r="F51" s="31"/>
      <c r="G51" s="49" t="s">
        <v>138</v>
      </c>
      <c r="H51" s="44">
        <f>12*8*20*8*2</f>
        <v>30720</v>
      </c>
      <c r="I51" s="2" t="s">
        <v>101</v>
      </c>
    </row>
    <row r="52" spans="1:9" x14ac:dyDescent="0.3">
      <c r="A52" s="9"/>
      <c r="B52" s="8"/>
      <c r="C52" s="32"/>
      <c r="D52" s="31"/>
      <c r="E52" s="31"/>
      <c r="F52" s="31"/>
      <c r="G52" s="165" t="s">
        <v>139</v>
      </c>
      <c r="H52" s="166">
        <f>SUM(H46:H51)</f>
        <v>137060</v>
      </c>
    </row>
    <row r="53" spans="1:9" x14ac:dyDescent="0.3">
      <c r="A53" s="9"/>
      <c r="B53" s="8"/>
      <c r="C53" s="32"/>
      <c r="D53" s="31"/>
      <c r="E53" s="31"/>
      <c r="F53" s="31"/>
      <c r="G53" s="35" t="s">
        <v>140</v>
      </c>
      <c r="H53" s="34"/>
    </row>
    <row r="54" spans="1:9" x14ac:dyDescent="0.3">
      <c r="A54" s="9"/>
      <c r="B54" s="8"/>
      <c r="C54" s="32"/>
      <c r="D54" s="31"/>
      <c r="E54" s="31"/>
      <c r="F54" s="31"/>
      <c r="G54" s="49" t="s">
        <v>371</v>
      </c>
      <c r="H54" s="44">
        <f>100*25*2</f>
        <v>5000</v>
      </c>
      <c r="I54" s="2" t="s">
        <v>101</v>
      </c>
    </row>
    <row r="55" spans="1:9" x14ac:dyDescent="0.3">
      <c r="A55" s="9"/>
      <c r="B55" s="8"/>
      <c r="C55" s="19"/>
      <c r="D55" s="48"/>
      <c r="E55" s="48"/>
      <c r="F55" s="48"/>
      <c r="G55" s="165" t="s">
        <v>139</v>
      </c>
      <c r="H55" s="166">
        <f>H54</f>
        <v>5000</v>
      </c>
    </row>
    <row r="56" spans="1:9" x14ac:dyDescent="0.3">
      <c r="A56" s="9"/>
      <c r="B56" s="12" t="s">
        <v>141</v>
      </c>
      <c r="C56" s="11"/>
      <c r="D56" s="10">
        <f>SUM(D57:D57)</f>
        <v>0</v>
      </c>
      <c r="E56" s="10"/>
      <c r="F56" s="10"/>
      <c r="G56" s="169"/>
      <c r="H56" s="170"/>
    </row>
    <row r="57" spans="1:9" x14ac:dyDescent="0.3">
      <c r="A57" s="9"/>
      <c r="B57" s="8"/>
      <c r="C57" s="7" t="s">
        <v>141</v>
      </c>
      <c r="D57" s="6"/>
      <c r="E57" s="6"/>
      <c r="F57" s="6"/>
      <c r="G57" s="172"/>
      <c r="H57" s="173"/>
    </row>
    <row r="58" spans="1:9" x14ac:dyDescent="0.3">
      <c r="A58" s="17" t="s">
        <v>142</v>
      </c>
      <c r="B58" s="16"/>
      <c r="C58" s="15"/>
      <c r="D58" s="14">
        <f>SUM(D59,D143,D282,D311)</f>
        <v>2694560</v>
      </c>
      <c r="E58" s="14">
        <f>SUM(E59,E143,E282,E311)</f>
        <v>2341842</v>
      </c>
      <c r="F58" s="14">
        <f>D58-E58</f>
        <v>352718</v>
      </c>
      <c r="G58" s="13"/>
      <c r="H58" s="174"/>
    </row>
    <row r="59" spans="1:9" x14ac:dyDescent="0.3">
      <c r="A59" s="9"/>
      <c r="B59" s="59" t="s">
        <v>143</v>
      </c>
      <c r="C59" s="58"/>
      <c r="D59" s="10">
        <f>SUM(D60:D129)</f>
        <v>1879030</v>
      </c>
      <c r="E59" s="10">
        <f>E60+E68+E84+E97+E88+E110+E100+E114+E119+E129</f>
        <v>1656090</v>
      </c>
      <c r="F59" s="10">
        <f>D59-E59</f>
        <v>222940</v>
      </c>
      <c r="G59" s="169"/>
      <c r="H59" s="170"/>
    </row>
    <row r="60" spans="1:9" x14ac:dyDescent="0.3">
      <c r="A60" s="9"/>
      <c r="B60" s="8"/>
      <c r="C60" s="7" t="s">
        <v>144</v>
      </c>
      <c r="D60" s="47">
        <f>H67</f>
        <v>265600</v>
      </c>
      <c r="E60" s="47">
        <v>266800</v>
      </c>
      <c r="F60" s="47">
        <f>D60-E60</f>
        <v>-1200</v>
      </c>
      <c r="G60" s="35" t="s">
        <v>145</v>
      </c>
      <c r="H60" s="34"/>
    </row>
    <row r="61" spans="1:9" x14ac:dyDescent="0.3">
      <c r="A61" s="9"/>
      <c r="B61" s="8"/>
      <c r="C61" s="32"/>
      <c r="D61" s="31"/>
      <c r="E61" s="31"/>
      <c r="F61" s="31"/>
      <c r="G61" s="30" t="s">
        <v>146</v>
      </c>
      <c r="H61" s="29">
        <f>2000*12</f>
        <v>24000</v>
      </c>
      <c r="I61" s="2" t="s">
        <v>107</v>
      </c>
    </row>
    <row r="62" spans="1:9" x14ac:dyDescent="0.3">
      <c r="A62" s="9"/>
      <c r="B62" s="8"/>
      <c r="C62" s="32"/>
      <c r="D62" s="31"/>
      <c r="E62" s="31"/>
      <c r="F62" s="31"/>
      <c r="G62" s="30" t="s">
        <v>148</v>
      </c>
      <c r="H62" s="29">
        <f>14000*12</f>
        <v>168000</v>
      </c>
      <c r="I62" s="2" t="s">
        <v>112</v>
      </c>
    </row>
    <row r="63" spans="1:9" x14ac:dyDescent="0.3">
      <c r="A63" s="9"/>
      <c r="B63" s="8"/>
      <c r="C63" s="32"/>
      <c r="D63" s="31"/>
      <c r="E63" s="31"/>
      <c r="F63" s="31"/>
      <c r="G63" s="30" t="s">
        <v>149</v>
      </c>
      <c r="H63" s="29">
        <f>2000*12</f>
        <v>24000</v>
      </c>
      <c r="I63" s="2" t="s">
        <v>112</v>
      </c>
    </row>
    <row r="64" spans="1:9" x14ac:dyDescent="0.3">
      <c r="A64" s="9"/>
      <c r="B64" s="8"/>
      <c r="C64" s="32"/>
      <c r="D64" s="31"/>
      <c r="E64" s="31"/>
      <c r="F64" s="31"/>
      <c r="G64" s="30" t="s">
        <v>150</v>
      </c>
      <c r="H64" s="29">
        <f>3000*4</f>
        <v>12000</v>
      </c>
      <c r="I64" s="2" t="s">
        <v>99</v>
      </c>
    </row>
    <row r="65" spans="1:9" x14ac:dyDescent="0.3">
      <c r="A65" s="9"/>
      <c r="B65" s="8"/>
      <c r="C65" s="32"/>
      <c r="D65" s="31"/>
      <c r="E65" s="31"/>
      <c r="F65" s="31"/>
      <c r="G65" s="30" t="s">
        <v>151</v>
      </c>
      <c r="H65" s="29">
        <f>4000</f>
        <v>4000</v>
      </c>
      <c r="I65" s="2" t="s">
        <v>99</v>
      </c>
    </row>
    <row r="66" spans="1:9" x14ac:dyDescent="0.3">
      <c r="A66" s="9"/>
      <c r="B66" s="8"/>
      <c r="C66" s="32"/>
      <c r="D66" s="31"/>
      <c r="E66" s="31"/>
      <c r="F66" s="31"/>
      <c r="G66" s="49" t="s">
        <v>489</v>
      </c>
      <c r="H66" s="44">
        <f>11200*3</f>
        <v>33600</v>
      </c>
      <c r="I66" s="2" t="s">
        <v>345</v>
      </c>
    </row>
    <row r="67" spans="1:9" x14ac:dyDescent="0.3">
      <c r="A67" s="9"/>
      <c r="B67" s="8"/>
      <c r="C67" s="32"/>
      <c r="D67" s="31"/>
      <c r="E67" s="31"/>
      <c r="F67" s="31"/>
      <c r="G67" s="165" t="s">
        <v>152</v>
      </c>
      <c r="H67" s="166">
        <f>SUM(H61:H66)</f>
        <v>265600</v>
      </c>
    </row>
    <row r="68" spans="1:9" x14ac:dyDescent="0.3">
      <c r="A68" s="9"/>
      <c r="B68" s="8"/>
      <c r="C68" s="32" t="s">
        <v>153</v>
      </c>
      <c r="D68" s="31">
        <f>H83</f>
        <v>314800</v>
      </c>
      <c r="E68" s="31">
        <v>343700</v>
      </c>
      <c r="F68" s="31">
        <f>D68-E68</f>
        <v>-28900</v>
      </c>
      <c r="G68" s="35" t="s">
        <v>154</v>
      </c>
      <c r="H68" s="34"/>
    </row>
    <row r="69" spans="1:9" x14ac:dyDescent="0.3">
      <c r="A69" s="9"/>
      <c r="B69" s="8"/>
      <c r="C69" s="32"/>
      <c r="D69" s="31"/>
      <c r="E69" s="31"/>
      <c r="F69" s="31"/>
      <c r="G69" s="30" t="s">
        <v>155</v>
      </c>
      <c r="H69" s="29">
        <f>2000*2</f>
        <v>4000</v>
      </c>
      <c r="I69" s="2" t="s">
        <v>112</v>
      </c>
    </row>
    <row r="70" spans="1:9" x14ac:dyDescent="0.3">
      <c r="A70" s="9"/>
      <c r="B70" s="8"/>
      <c r="C70" s="32"/>
      <c r="D70" s="31"/>
      <c r="E70" s="31"/>
      <c r="F70" s="31"/>
      <c r="G70" s="30" t="s">
        <v>156</v>
      </c>
      <c r="H70" s="29">
        <f>500*2</f>
        <v>1000</v>
      </c>
      <c r="I70" s="2" t="s">
        <v>112</v>
      </c>
    </row>
    <row r="71" spans="1:9" x14ac:dyDescent="0.3">
      <c r="A71" s="9"/>
      <c r="B71" s="8"/>
      <c r="C71" s="32"/>
      <c r="D71" s="31"/>
      <c r="E71" s="31"/>
      <c r="F71" s="31"/>
      <c r="G71" s="30" t="s">
        <v>159</v>
      </c>
      <c r="H71" s="29">
        <f>100*12</f>
        <v>1200</v>
      </c>
      <c r="I71" s="2" t="s">
        <v>112</v>
      </c>
    </row>
    <row r="72" spans="1:9" x14ac:dyDescent="0.3">
      <c r="A72" s="9"/>
      <c r="B72" s="8"/>
      <c r="C72" s="32"/>
      <c r="D72" s="31"/>
      <c r="E72" s="31"/>
      <c r="F72" s="31"/>
      <c r="G72" s="30" t="s">
        <v>160</v>
      </c>
      <c r="H72" s="29">
        <f>350*80</f>
        <v>28000</v>
      </c>
      <c r="I72" s="2" t="s">
        <v>161</v>
      </c>
    </row>
    <row r="73" spans="1:9" x14ac:dyDescent="0.3">
      <c r="A73" s="9"/>
      <c r="B73" s="8"/>
      <c r="C73" s="32"/>
      <c r="D73" s="31"/>
      <c r="E73" s="31"/>
      <c r="F73" s="31"/>
      <c r="G73" s="30" t="s">
        <v>162</v>
      </c>
      <c r="H73" s="29">
        <v>2000</v>
      </c>
      <c r="I73" s="2" t="s">
        <v>112</v>
      </c>
    </row>
    <row r="74" spans="1:9" x14ac:dyDescent="0.3">
      <c r="A74" s="9"/>
      <c r="B74" s="8"/>
      <c r="C74" s="32"/>
      <c r="D74" s="31"/>
      <c r="E74" s="31"/>
      <c r="F74" s="31"/>
      <c r="G74" s="30" t="s">
        <v>163</v>
      </c>
      <c r="H74" s="29">
        <v>4000</v>
      </c>
      <c r="I74" s="2" t="s">
        <v>112</v>
      </c>
    </row>
    <row r="75" spans="1:9" x14ac:dyDescent="0.3">
      <c r="A75" s="9"/>
      <c r="B75" s="8"/>
      <c r="C75" s="32"/>
      <c r="D75" s="31"/>
      <c r="E75" s="31"/>
      <c r="F75" s="31"/>
      <c r="G75" s="30" t="s">
        <v>164</v>
      </c>
      <c r="H75" s="29">
        <f>8000</f>
        <v>8000</v>
      </c>
      <c r="I75" s="2" t="s">
        <v>112</v>
      </c>
    </row>
    <row r="76" spans="1:9" x14ac:dyDescent="0.3">
      <c r="A76" s="9"/>
      <c r="B76" s="8"/>
      <c r="C76" s="32"/>
      <c r="D76" s="31"/>
      <c r="E76" s="31"/>
      <c r="F76" s="31"/>
      <c r="G76" s="30" t="s">
        <v>165</v>
      </c>
      <c r="H76" s="29">
        <f>1500*2</f>
        <v>3000</v>
      </c>
      <c r="I76" s="2" t="s">
        <v>161</v>
      </c>
    </row>
    <row r="77" spans="1:9" x14ac:dyDescent="0.3">
      <c r="A77" s="9"/>
      <c r="B77" s="8"/>
      <c r="C77" s="32"/>
      <c r="D77" s="31"/>
      <c r="E77" s="31"/>
      <c r="F77" s="31"/>
      <c r="G77" s="30" t="s">
        <v>350</v>
      </c>
      <c r="H77" s="29">
        <f>11500*12</f>
        <v>138000</v>
      </c>
      <c r="I77" s="2" t="s">
        <v>107</v>
      </c>
    </row>
    <row r="78" spans="1:9" x14ac:dyDescent="0.3">
      <c r="A78" s="9"/>
      <c r="B78" s="8"/>
      <c r="C78" s="32"/>
      <c r="D78" s="31"/>
      <c r="E78" s="31"/>
      <c r="F78" s="31"/>
      <c r="G78" s="30" t="s">
        <v>166</v>
      </c>
      <c r="H78" s="29">
        <f>1000*12</f>
        <v>12000</v>
      </c>
      <c r="I78" s="2" t="s">
        <v>112</v>
      </c>
    </row>
    <row r="79" spans="1:9" x14ac:dyDescent="0.3">
      <c r="A79" s="9"/>
      <c r="B79" s="8"/>
      <c r="C79" s="32"/>
      <c r="D79" s="31"/>
      <c r="E79" s="31"/>
      <c r="F79" s="31"/>
      <c r="G79" s="30" t="s">
        <v>167</v>
      </c>
      <c r="H79" s="29">
        <f>5000*12</f>
        <v>60000</v>
      </c>
      <c r="I79" s="2" t="s">
        <v>112</v>
      </c>
    </row>
    <row r="80" spans="1:9" x14ac:dyDescent="0.3">
      <c r="A80" s="9"/>
      <c r="B80" s="8"/>
      <c r="C80" s="32"/>
      <c r="D80" s="31"/>
      <c r="E80" s="31"/>
      <c r="F80" s="31"/>
      <c r="G80" s="30" t="s">
        <v>168</v>
      </c>
      <c r="H80" s="29">
        <f>500*4</f>
        <v>2000</v>
      </c>
      <c r="I80" s="2" t="s">
        <v>99</v>
      </c>
    </row>
    <row r="81" spans="1:9" x14ac:dyDescent="0.3">
      <c r="A81" s="9"/>
      <c r="B81" s="8"/>
      <c r="C81" s="32"/>
      <c r="D81" s="31"/>
      <c r="E81" s="31"/>
      <c r="F81" s="31"/>
      <c r="G81" s="30" t="s">
        <v>169</v>
      </c>
      <c r="H81" s="29">
        <f>1600*4*4</f>
        <v>25600</v>
      </c>
      <c r="I81" s="2" t="s">
        <v>170</v>
      </c>
    </row>
    <row r="82" spans="1:9" x14ac:dyDescent="0.3">
      <c r="A82" s="9"/>
      <c r="B82" s="8"/>
      <c r="C82" s="32"/>
      <c r="D82" s="31"/>
      <c r="E82" s="31"/>
      <c r="F82" s="31"/>
      <c r="G82" s="30" t="s">
        <v>171</v>
      </c>
      <c r="H82" s="29">
        <v>26000</v>
      </c>
      <c r="I82" s="2" t="s">
        <v>170</v>
      </c>
    </row>
    <row r="83" spans="1:9" x14ac:dyDescent="0.3">
      <c r="A83" s="9"/>
      <c r="B83" s="8"/>
      <c r="C83" s="32"/>
      <c r="D83" s="31"/>
      <c r="E83" s="31"/>
      <c r="F83" s="31"/>
      <c r="G83" s="165" t="s">
        <v>172</v>
      </c>
      <c r="H83" s="166">
        <f>SUM(H69:H82)</f>
        <v>314800</v>
      </c>
    </row>
    <row r="84" spans="1:9" x14ac:dyDescent="0.3">
      <c r="A84" s="9"/>
      <c r="B84" s="8"/>
      <c r="C84" s="32" t="s">
        <v>505</v>
      </c>
      <c r="D84" s="31">
        <f>H87</f>
        <v>110000</v>
      </c>
      <c r="E84" s="31">
        <v>115200</v>
      </c>
      <c r="F84" s="31">
        <f>D84-E84</f>
        <v>-5200</v>
      </c>
      <c r="G84" s="35" t="s">
        <v>154</v>
      </c>
      <c r="H84" s="34"/>
    </row>
    <row r="85" spans="1:9" x14ac:dyDescent="0.3">
      <c r="A85" s="9"/>
      <c r="B85" s="8"/>
      <c r="C85" s="32"/>
      <c r="D85" s="31"/>
      <c r="E85" s="31"/>
      <c r="F85" s="31"/>
      <c r="G85" s="30" t="s">
        <v>348</v>
      </c>
      <c r="H85" s="29">
        <f>7000*2</f>
        <v>14000</v>
      </c>
      <c r="I85" s="2" t="s">
        <v>112</v>
      </c>
    </row>
    <row r="86" spans="1:9" x14ac:dyDescent="0.3">
      <c r="A86" s="9"/>
      <c r="B86" s="8"/>
      <c r="C86" s="32"/>
      <c r="D86" s="31"/>
      <c r="E86" s="31"/>
      <c r="F86" s="31"/>
      <c r="G86" s="49" t="s">
        <v>349</v>
      </c>
      <c r="H86" s="44">
        <f>1000*8*12</f>
        <v>96000</v>
      </c>
      <c r="I86" s="2" t="s">
        <v>112</v>
      </c>
    </row>
    <row r="87" spans="1:9" x14ac:dyDescent="0.3">
      <c r="A87" s="9"/>
      <c r="B87" s="8"/>
      <c r="C87" s="32"/>
      <c r="D87" s="31"/>
      <c r="E87" s="31"/>
      <c r="F87" s="31"/>
      <c r="G87" s="165" t="s">
        <v>116</v>
      </c>
      <c r="H87" s="166">
        <f>SUM(H85:H86)</f>
        <v>110000</v>
      </c>
    </row>
    <row r="88" spans="1:9" x14ac:dyDescent="0.3">
      <c r="A88" s="9"/>
      <c r="B88" s="8"/>
      <c r="C88" s="32" t="s">
        <v>175</v>
      </c>
      <c r="D88" s="31">
        <f>H96</f>
        <v>631600</v>
      </c>
      <c r="E88" s="31">
        <v>485600</v>
      </c>
      <c r="F88" s="31">
        <f>D88-E88</f>
        <v>146000</v>
      </c>
      <c r="G88" s="35" t="s">
        <v>173</v>
      </c>
      <c r="H88" s="34"/>
    </row>
    <row r="89" spans="1:9" x14ac:dyDescent="0.3">
      <c r="A89" s="9"/>
      <c r="B89" s="8"/>
      <c r="C89" s="32"/>
      <c r="D89" s="31"/>
      <c r="E89" s="31"/>
      <c r="F89" s="31"/>
      <c r="G89" s="30" t="s">
        <v>176</v>
      </c>
      <c r="H89" s="29">
        <f>2000*4</f>
        <v>8000</v>
      </c>
      <c r="I89" s="2" t="s">
        <v>99</v>
      </c>
    </row>
    <row r="90" spans="1:9" x14ac:dyDescent="0.3">
      <c r="A90" s="9"/>
      <c r="B90" s="8"/>
      <c r="C90" s="32"/>
      <c r="D90" s="31"/>
      <c r="E90" s="31"/>
      <c r="F90" s="31"/>
      <c r="G90" s="30" t="s">
        <v>177</v>
      </c>
      <c r="H90" s="29">
        <f>900*12</f>
        <v>10800</v>
      </c>
      <c r="I90" s="2" t="s">
        <v>99</v>
      </c>
    </row>
    <row r="91" spans="1:9" x14ac:dyDescent="0.3">
      <c r="A91" s="9"/>
      <c r="B91" s="8"/>
      <c r="C91" s="32"/>
      <c r="D91" s="31"/>
      <c r="E91" s="31"/>
      <c r="F91" s="31"/>
      <c r="G91" s="30" t="s">
        <v>178</v>
      </c>
      <c r="H91" s="29">
        <f>400*12</f>
        <v>4800</v>
      </c>
      <c r="I91" s="2" t="s">
        <v>170</v>
      </c>
    </row>
    <row r="92" spans="1:9" x14ac:dyDescent="0.3">
      <c r="A92" s="9"/>
      <c r="B92" s="8"/>
      <c r="C92" s="32"/>
      <c r="D92" s="31"/>
      <c r="E92" s="31"/>
      <c r="F92" s="31"/>
      <c r="G92" s="30" t="s">
        <v>179</v>
      </c>
      <c r="H92" s="29">
        <f>2000*12</f>
        <v>24000</v>
      </c>
      <c r="I92" s="2" t="s">
        <v>112</v>
      </c>
    </row>
    <row r="93" spans="1:9" x14ac:dyDescent="0.3">
      <c r="A93" s="9"/>
      <c r="B93" s="8"/>
      <c r="C93" s="32"/>
      <c r="D93" s="31"/>
      <c r="E93" s="31"/>
      <c r="F93" s="31"/>
      <c r="G93" s="30" t="s">
        <v>180</v>
      </c>
      <c r="H93" s="29">
        <f>400*5</f>
        <v>2000</v>
      </c>
      <c r="I93" s="2" t="s">
        <v>99</v>
      </c>
    </row>
    <row r="94" spans="1:9" x14ac:dyDescent="0.3">
      <c r="A94" s="9"/>
      <c r="B94" s="8"/>
      <c r="C94" s="32"/>
      <c r="D94" s="31"/>
      <c r="E94" s="31"/>
      <c r="F94" s="31"/>
      <c r="G94" s="30" t="s">
        <v>181</v>
      </c>
      <c r="H94" s="29">
        <f>11000*12</f>
        <v>132000</v>
      </c>
      <c r="I94" s="2" t="s">
        <v>182</v>
      </c>
    </row>
    <row r="95" spans="1:9" x14ac:dyDescent="0.3">
      <c r="A95" s="9"/>
      <c r="B95" s="8"/>
      <c r="C95" s="32"/>
      <c r="D95" s="31"/>
      <c r="E95" s="31"/>
      <c r="F95" s="31"/>
      <c r="G95" s="49" t="s">
        <v>183</v>
      </c>
      <c r="H95" s="44">
        <f>225000*2</f>
        <v>450000</v>
      </c>
      <c r="I95" s="2" t="s">
        <v>184</v>
      </c>
    </row>
    <row r="96" spans="1:9" x14ac:dyDescent="0.3">
      <c r="A96" s="9"/>
      <c r="B96" s="8"/>
      <c r="C96" s="32"/>
      <c r="D96" s="31"/>
      <c r="E96" s="31"/>
      <c r="F96" s="31"/>
      <c r="G96" s="165" t="s">
        <v>185</v>
      </c>
      <c r="H96" s="166">
        <f>SUM(H89:H95)</f>
        <v>631600</v>
      </c>
    </row>
    <row r="97" spans="1:9" x14ac:dyDescent="0.3">
      <c r="A97" s="9"/>
      <c r="B97" s="8"/>
      <c r="C97" s="32" t="s">
        <v>504</v>
      </c>
      <c r="D97" s="31">
        <f>H99</f>
        <v>228000</v>
      </c>
      <c r="E97" s="31">
        <v>192000</v>
      </c>
      <c r="F97" s="31">
        <f>D97-E97</f>
        <v>36000</v>
      </c>
      <c r="G97" s="35" t="s">
        <v>173</v>
      </c>
      <c r="H97" s="34"/>
    </row>
    <row r="98" spans="1:9" x14ac:dyDescent="0.3">
      <c r="A98" s="9"/>
      <c r="B98" s="8"/>
      <c r="C98" s="32"/>
      <c r="D98" s="31"/>
      <c r="E98" s="31"/>
      <c r="F98" s="31"/>
      <c r="G98" s="49" t="s">
        <v>174</v>
      </c>
      <c r="H98" s="44">
        <f>19000*12</f>
        <v>228000</v>
      </c>
      <c r="I98" s="2" t="s">
        <v>161</v>
      </c>
    </row>
    <row r="99" spans="1:9" x14ac:dyDescent="0.3">
      <c r="A99" s="9"/>
      <c r="B99" s="8"/>
      <c r="C99" s="32"/>
      <c r="D99" s="31"/>
      <c r="E99" s="31"/>
      <c r="F99" s="31"/>
      <c r="G99" s="165" t="s">
        <v>152</v>
      </c>
      <c r="H99" s="166">
        <f>H98</f>
        <v>228000</v>
      </c>
    </row>
    <row r="100" spans="1:9" x14ac:dyDescent="0.3">
      <c r="A100" s="9"/>
      <c r="B100" s="8"/>
      <c r="C100" s="32" t="s">
        <v>189</v>
      </c>
      <c r="D100" s="31">
        <f>H109</f>
        <v>46750</v>
      </c>
      <c r="E100" s="31">
        <v>28100</v>
      </c>
      <c r="F100" s="31">
        <f>D100-E100</f>
        <v>18650</v>
      </c>
      <c r="G100" s="35" t="s">
        <v>190</v>
      </c>
      <c r="H100" s="34"/>
    </row>
    <row r="101" spans="1:9" x14ac:dyDescent="0.3">
      <c r="A101" s="9"/>
      <c r="B101" s="8"/>
      <c r="C101" s="32"/>
      <c r="D101" s="31"/>
      <c r="E101" s="31"/>
      <c r="F101" s="31"/>
      <c r="G101" s="30" t="s">
        <v>370</v>
      </c>
      <c r="H101" s="29">
        <f>1500*3*2</f>
        <v>9000</v>
      </c>
      <c r="I101" s="2" t="s">
        <v>112</v>
      </c>
    </row>
    <row r="102" spans="1:9" x14ac:dyDescent="0.3">
      <c r="A102" s="9"/>
      <c r="B102" s="8"/>
      <c r="C102" s="32"/>
      <c r="D102" s="31"/>
      <c r="E102" s="31"/>
      <c r="F102" s="31"/>
      <c r="G102" s="30" t="s">
        <v>362</v>
      </c>
      <c r="H102" s="29">
        <f>200*3*5*2</f>
        <v>6000</v>
      </c>
      <c r="I102" s="2" t="s">
        <v>112</v>
      </c>
    </row>
    <row r="103" spans="1:9" x14ac:dyDescent="0.3">
      <c r="A103" s="9"/>
      <c r="B103" s="8"/>
      <c r="C103" s="32"/>
      <c r="D103" s="31"/>
      <c r="E103" s="31"/>
      <c r="F103" s="31"/>
      <c r="G103" s="30" t="s">
        <v>365</v>
      </c>
      <c r="H103" s="29">
        <f>50*5*3*2</f>
        <v>1500</v>
      </c>
      <c r="I103" s="2" t="s">
        <v>112</v>
      </c>
    </row>
    <row r="104" spans="1:9" x14ac:dyDescent="0.3">
      <c r="A104" s="9"/>
      <c r="B104" s="8"/>
      <c r="C104" s="32"/>
      <c r="D104" s="31"/>
      <c r="E104" s="31"/>
      <c r="F104" s="31"/>
      <c r="G104" s="30" t="s">
        <v>366</v>
      </c>
      <c r="H104" s="29">
        <f>75*5*3*2</f>
        <v>2250</v>
      </c>
      <c r="I104" s="2" t="s">
        <v>112</v>
      </c>
    </row>
    <row r="105" spans="1:9" x14ac:dyDescent="0.3">
      <c r="A105" s="9"/>
      <c r="B105" s="8"/>
      <c r="C105" s="32"/>
      <c r="D105" s="31"/>
      <c r="E105" s="31"/>
      <c r="F105" s="31"/>
      <c r="G105" s="30" t="s">
        <v>488</v>
      </c>
      <c r="H105" s="29">
        <f>1000*7</f>
        <v>7000</v>
      </c>
      <c r="I105" s="2" t="s">
        <v>170</v>
      </c>
    </row>
    <row r="106" spans="1:9" ht="24" x14ac:dyDescent="0.3">
      <c r="A106" s="9"/>
      <c r="B106" s="8"/>
      <c r="C106" s="32"/>
      <c r="D106" s="31"/>
      <c r="E106" s="31"/>
      <c r="F106" s="31"/>
      <c r="G106" s="55" t="s">
        <v>363</v>
      </c>
      <c r="H106" s="43">
        <f>1000*2*5</f>
        <v>10000</v>
      </c>
      <c r="I106" s="2" t="s">
        <v>99</v>
      </c>
    </row>
    <row r="107" spans="1:9" x14ac:dyDescent="0.3">
      <c r="A107" s="9"/>
      <c r="B107" s="8"/>
      <c r="C107" s="32"/>
      <c r="D107" s="31"/>
      <c r="E107" s="31"/>
      <c r="F107" s="31"/>
      <c r="G107" s="30" t="s">
        <v>497</v>
      </c>
      <c r="H107" s="29">
        <f>10*10*8*10</f>
        <v>8000</v>
      </c>
      <c r="I107" s="2" t="s">
        <v>99</v>
      </c>
    </row>
    <row r="108" spans="1:9" x14ac:dyDescent="0.3">
      <c r="A108" s="9"/>
      <c r="B108" s="8"/>
      <c r="C108" s="32"/>
      <c r="D108" s="31"/>
      <c r="E108" s="31"/>
      <c r="F108" s="31"/>
      <c r="G108" s="49" t="s">
        <v>367</v>
      </c>
      <c r="H108" s="44">
        <f>20*5*3*10</f>
        <v>3000</v>
      </c>
      <c r="I108" s="2" t="s">
        <v>99</v>
      </c>
    </row>
    <row r="109" spans="1:9" x14ac:dyDescent="0.3">
      <c r="A109" s="9"/>
      <c r="B109" s="8"/>
      <c r="C109" s="32"/>
      <c r="D109" s="31"/>
      <c r="E109" s="31"/>
      <c r="F109" s="31"/>
      <c r="G109" s="165" t="s">
        <v>40</v>
      </c>
      <c r="H109" s="166">
        <f>SUM(H101:H108)</f>
        <v>46750</v>
      </c>
    </row>
    <row r="110" spans="1:9" x14ac:dyDescent="0.3">
      <c r="A110" s="9"/>
      <c r="B110" s="8"/>
      <c r="C110" s="32" t="s">
        <v>506</v>
      </c>
      <c r="D110" s="31">
        <f>H113</f>
        <v>52800</v>
      </c>
      <c r="E110" s="31">
        <v>26400</v>
      </c>
      <c r="F110" s="31">
        <f>D110-E110</f>
        <v>26400</v>
      </c>
      <c r="G110" s="35" t="s">
        <v>186</v>
      </c>
      <c r="H110" s="34"/>
    </row>
    <row r="111" spans="1:9" x14ac:dyDescent="0.3">
      <c r="A111" s="9"/>
      <c r="B111" s="8"/>
      <c r="C111" s="32"/>
      <c r="D111" s="31"/>
      <c r="E111" s="31"/>
      <c r="F111" s="53"/>
      <c r="G111" s="160" t="s">
        <v>187</v>
      </c>
      <c r="H111" s="161">
        <f>600*4*12</f>
        <v>28800</v>
      </c>
      <c r="I111" s="178" t="s">
        <v>107</v>
      </c>
    </row>
    <row r="112" spans="1:9" x14ac:dyDescent="0.3">
      <c r="A112" s="9"/>
      <c r="B112" s="8"/>
      <c r="C112" s="32"/>
      <c r="D112" s="31"/>
      <c r="E112" s="31"/>
      <c r="F112" s="31"/>
      <c r="G112" s="30" t="s">
        <v>147</v>
      </c>
      <c r="H112" s="29">
        <f>500*4*12</f>
        <v>24000</v>
      </c>
      <c r="I112" s="2" t="s">
        <v>99</v>
      </c>
    </row>
    <row r="113" spans="1:9" x14ac:dyDescent="0.3">
      <c r="A113" s="9"/>
      <c r="B113" s="8"/>
      <c r="C113" s="32"/>
      <c r="D113" s="31"/>
      <c r="E113" s="31"/>
      <c r="F113" s="31"/>
      <c r="G113" s="165" t="s">
        <v>188</v>
      </c>
      <c r="H113" s="166">
        <f>SUM(H111:H112)</f>
        <v>52800</v>
      </c>
    </row>
    <row r="114" spans="1:9" x14ac:dyDescent="0.3">
      <c r="A114" s="9"/>
      <c r="B114" s="8"/>
      <c r="C114" s="32" t="s">
        <v>191</v>
      </c>
      <c r="D114" s="31">
        <f>H118</f>
        <v>33182</v>
      </c>
      <c r="E114" s="31">
        <v>30800</v>
      </c>
      <c r="F114" s="31">
        <f>D114-E114</f>
        <v>2382</v>
      </c>
      <c r="G114" s="35" t="s">
        <v>190</v>
      </c>
      <c r="H114" s="34"/>
    </row>
    <row r="115" spans="1:9" x14ac:dyDescent="0.3">
      <c r="A115" s="9"/>
      <c r="B115" s="8"/>
      <c r="C115" s="32"/>
      <c r="D115" s="31"/>
      <c r="E115" s="31"/>
      <c r="F115" s="31"/>
      <c r="G115" s="30" t="s">
        <v>368</v>
      </c>
      <c r="H115" s="29">
        <v>14000</v>
      </c>
      <c r="I115" s="2" t="s">
        <v>182</v>
      </c>
    </row>
    <row r="116" spans="1:9" x14ac:dyDescent="0.3">
      <c r="A116" s="9"/>
      <c r="B116" s="8"/>
      <c r="C116" s="32"/>
      <c r="D116" s="31"/>
      <c r="E116" s="31"/>
      <c r="F116" s="31"/>
      <c r="G116" s="30" t="s">
        <v>372</v>
      </c>
      <c r="H116" s="29">
        <f>5891*2</f>
        <v>11782</v>
      </c>
      <c r="I116" s="2" t="s">
        <v>170</v>
      </c>
    </row>
    <row r="117" spans="1:9" x14ac:dyDescent="0.3">
      <c r="A117" s="9"/>
      <c r="B117" s="8"/>
      <c r="C117" s="32"/>
      <c r="D117" s="31"/>
      <c r="E117" s="31"/>
      <c r="F117" s="31"/>
      <c r="G117" s="30" t="s">
        <v>507</v>
      </c>
      <c r="H117" s="29">
        <f>1850*4</f>
        <v>7400</v>
      </c>
      <c r="I117" s="2" t="s">
        <v>192</v>
      </c>
    </row>
    <row r="118" spans="1:9" x14ac:dyDescent="0.3">
      <c r="A118" s="9"/>
      <c r="B118" s="8"/>
      <c r="C118" s="32"/>
      <c r="D118" s="31"/>
      <c r="E118" s="31"/>
      <c r="F118" s="31"/>
      <c r="G118" s="165" t="s">
        <v>33</v>
      </c>
      <c r="H118" s="166">
        <f>SUM(H115:H117)</f>
        <v>33182</v>
      </c>
    </row>
    <row r="119" spans="1:9" x14ac:dyDescent="0.3">
      <c r="A119" s="9"/>
      <c r="B119" s="8"/>
      <c r="C119" s="32" t="s">
        <v>193</v>
      </c>
      <c r="D119" s="31">
        <f>H128</f>
        <v>111050</v>
      </c>
      <c r="E119" s="31">
        <v>71700</v>
      </c>
      <c r="F119" s="31">
        <f>D119-E119</f>
        <v>39350</v>
      </c>
      <c r="G119" s="35" t="s">
        <v>194</v>
      </c>
      <c r="H119" s="34"/>
    </row>
    <row r="120" spans="1:9" x14ac:dyDescent="0.3">
      <c r="A120" s="9"/>
      <c r="B120" s="8"/>
      <c r="C120" s="32"/>
      <c r="D120" s="31"/>
      <c r="E120" s="31"/>
      <c r="F120" s="31"/>
      <c r="G120" s="30" t="s">
        <v>351</v>
      </c>
      <c r="H120" s="29">
        <f>300*30</f>
        <v>9000</v>
      </c>
      <c r="I120" s="2" t="s">
        <v>195</v>
      </c>
    </row>
    <row r="121" spans="1:9" x14ac:dyDescent="0.3">
      <c r="A121" s="9"/>
      <c r="B121" s="8"/>
      <c r="C121" s="32"/>
      <c r="D121" s="31"/>
      <c r="E121" s="31"/>
      <c r="F121" s="31"/>
      <c r="G121" s="30" t="s">
        <v>196</v>
      </c>
      <c r="H121" s="29">
        <f>1000*3*2</f>
        <v>6000</v>
      </c>
      <c r="I121" s="2" t="s">
        <v>161</v>
      </c>
    </row>
    <row r="122" spans="1:9" x14ac:dyDescent="0.3">
      <c r="A122" s="9"/>
      <c r="B122" s="8"/>
      <c r="C122" s="32"/>
      <c r="D122" s="31"/>
      <c r="E122" s="31"/>
      <c r="F122" s="31"/>
      <c r="G122" s="30" t="s">
        <v>353</v>
      </c>
      <c r="H122" s="29">
        <f>2000*2</f>
        <v>4000</v>
      </c>
      <c r="I122" s="2" t="s">
        <v>99</v>
      </c>
    </row>
    <row r="123" spans="1:9" x14ac:dyDescent="0.3">
      <c r="A123" s="9"/>
      <c r="B123" s="8"/>
      <c r="C123" s="32"/>
      <c r="D123" s="31"/>
      <c r="E123" s="31"/>
      <c r="F123" s="31"/>
      <c r="G123" s="30" t="s">
        <v>354</v>
      </c>
      <c r="H123" s="29">
        <f>2*80*185</f>
        <v>29600</v>
      </c>
      <c r="I123" s="2" t="s">
        <v>99</v>
      </c>
    </row>
    <row r="124" spans="1:9" x14ac:dyDescent="0.3">
      <c r="A124" s="9"/>
      <c r="B124" s="8"/>
      <c r="C124" s="32"/>
      <c r="D124" s="31"/>
      <c r="E124" s="31"/>
      <c r="F124" s="31"/>
      <c r="G124" s="30" t="s">
        <v>197</v>
      </c>
      <c r="H124" s="29">
        <f>7*10*185</f>
        <v>12950</v>
      </c>
      <c r="I124" s="2" t="s">
        <v>99</v>
      </c>
    </row>
    <row r="125" spans="1:9" x14ac:dyDescent="0.3">
      <c r="A125" s="9"/>
      <c r="B125" s="8"/>
      <c r="C125" s="32"/>
      <c r="D125" s="31"/>
      <c r="E125" s="31"/>
      <c r="F125" s="53"/>
      <c r="G125" s="30" t="s">
        <v>198</v>
      </c>
      <c r="H125" s="29">
        <f>50*3*20*12</f>
        <v>36000</v>
      </c>
      <c r="I125" s="2" t="s">
        <v>99</v>
      </c>
    </row>
    <row r="126" spans="1:9" x14ac:dyDescent="0.3">
      <c r="A126" s="9"/>
      <c r="B126" s="8"/>
      <c r="C126" s="32"/>
      <c r="D126" s="31"/>
      <c r="E126" s="31"/>
      <c r="F126" s="31"/>
      <c r="G126" s="30" t="s">
        <v>355</v>
      </c>
      <c r="H126" s="29">
        <f>500*7</f>
        <v>3500</v>
      </c>
    </row>
    <row r="127" spans="1:9" x14ac:dyDescent="0.3">
      <c r="A127" s="9"/>
      <c r="B127" s="8"/>
      <c r="C127" s="32"/>
      <c r="D127" s="31"/>
      <c r="E127" s="31"/>
      <c r="F127" s="31"/>
      <c r="G127" s="30" t="s">
        <v>199</v>
      </c>
      <c r="H127" s="29">
        <f>500*20</f>
        <v>10000</v>
      </c>
    </row>
    <row r="128" spans="1:9" x14ac:dyDescent="0.3">
      <c r="A128" s="9"/>
      <c r="B128" s="8"/>
      <c r="C128" s="32"/>
      <c r="D128" s="31"/>
      <c r="E128" s="31"/>
      <c r="F128" s="31"/>
      <c r="G128" s="165" t="s">
        <v>185</v>
      </c>
      <c r="H128" s="166">
        <f>SUM(H120:H127)</f>
        <v>111050</v>
      </c>
    </row>
    <row r="129" spans="1:9" x14ac:dyDescent="0.3">
      <c r="A129" s="9"/>
      <c r="B129" s="8"/>
      <c r="C129" s="32" t="s">
        <v>200</v>
      </c>
      <c r="D129" s="31">
        <f>H142</f>
        <v>85248</v>
      </c>
      <c r="E129" s="31">
        <v>95790</v>
      </c>
      <c r="F129" s="31">
        <f>D129-E129</f>
        <v>-10542</v>
      </c>
      <c r="G129" s="175" t="s">
        <v>194</v>
      </c>
      <c r="H129" s="34"/>
    </row>
    <row r="130" spans="1:9" x14ac:dyDescent="0.3">
      <c r="A130" s="9"/>
      <c r="B130" s="8"/>
      <c r="C130" s="32"/>
      <c r="D130" s="31"/>
      <c r="E130" s="31"/>
      <c r="F130" s="31"/>
      <c r="G130" s="55" t="s">
        <v>201</v>
      </c>
      <c r="H130" s="43">
        <f>4000*7</f>
        <v>28000</v>
      </c>
      <c r="I130" s="2" t="s">
        <v>202</v>
      </c>
    </row>
    <row r="131" spans="1:9" x14ac:dyDescent="0.3">
      <c r="A131" s="9"/>
      <c r="B131" s="8"/>
      <c r="C131" s="32"/>
      <c r="D131" s="31"/>
      <c r="E131" s="31"/>
      <c r="F131" s="31"/>
      <c r="G131" s="30" t="s">
        <v>203</v>
      </c>
      <c r="H131" s="29">
        <f>800*12</f>
        <v>9600</v>
      </c>
      <c r="I131" s="2" t="s">
        <v>202</v>
      </c>
    </row>
    <row r="132" spans="1:9" x14ac:dyDescent="0.3">
      <c r="A132" s="9"/>
      <c r="B132" s="8"/>
      <c r="C132" s="32"/>
      <c r="D132" s="31"/>
      <c r="E132" s="31"/>
      <c r="F132" s="31"/>
      <c r="G132" s="30" t="s">
        <v>204</v>
      </c>
      <c r="H132" s="29">
        <f>34*500</f>
        <v>17000</v>
      </c>
      <c r="I132" s="2" t="s">
        <v>202</v>
      </c>
    </row>
    <row r="133" spans="1:9" x14ac:dyDescent="0.3">
      <c r="A133" s="9"/>
      <c r="B133" s="8"/>
      <c r="C133" s="32"/>
      <c r="D133" s="31"/>
      <c r="E133" s="31"/>
      <c r="F133" s="31"/>
      <c r="G133" s="30" t="s">
        <v>205</v>
      </c>
      <c r="H133" s="29">
        <f>5*600</f>
        <v>3000</v>
      </c>
      <c r="I133" s="2" t="s">
        <v>202</v>
      </c>
    </row>
    <row r="134" spans="1:9" s="146" customFormat="1" x14ac:dyDescent="0.3">
      <c r="A134" s="154"/>
      <c r="B134" s="155"/>
      <c r="C134" s="156"/>
      <c r="D134" s="157"/>
      <c r="E134" s="157"/>
      <c r="F134" s="157"/>
      <c r="G134" s="30" t="s">
        <v>206</v>
      </c>
      <c r="H134" s="29">
        <f>13*500</f>
        <v>6500</v>
      </c>
      <c r="I134" s="2" t="s">
        <v>202</v>
      </c>
    </row>
    <row r="135" spans="1:9" x14ac:dyDescent="0.3">
      <c r="A135" s="9"/>
      <c r="B135" s="8"/>
      <c r="C135" s="32"/>
      <c r="D135" s="31"/>
      <c r="E135" s="31"/>
      <c r="F135" s="31"/>
      <c r="G135" s="30" t="s">
        <v>207</v>
      </c>
      <c r="H135" s="29">
        <f>20*200</f>
        <v>4000</v>
      </c>
      <c r="I135" s="2" t="s">
        <v>202</v>
      </c>
    </row>
    <row r="136" spans="1:9" x14ac:dyDescent="0.3">
      <c r="A136" s="9"/>
      <c r="B136" s="8"/>
      <c r="C136" s="32"/>
      <c r="D136" s="31"/>
      <c r="E136" s="31"/>
      <c r="F136" s="31"/>
      <c r="G136" s="30" t="s">
        <v>208</v>
      </c>
      <c r="H136" s="29">
        <f>50*2*12</f>
        <v>1200</v>
      </c>
      <c r="I136" s="2" t="s">
        <v>202</v>
      </c>
    </row>
    <row r="137" spans="1:9" x14ac:dyDescent="0.3">
      <c r="A137" s="9"/>
      <c r="B137" s="8"/>
      <c r="C137" s="32"/>
      <c r="D137" s="31"/>
      <c r="E137" s="31"/>
      <c r="F137" s="31"/>
      <c r="G137" s="30" t="s">
        <v>209</v>
      </c>
      <c r="H137" s="29">
        <v>2000</v>
      </c>
      <c r="I137" s="2" t="s">
        <v>202</v>
      </c>
    </row>
    <row r="138" spans="1:9" x14ac:dyDescent="0.3">
      <c r="A138" s="9"/>
      <c r="B138" s="8"/>
      <c r="C138" s="32"/>
      <c r="D138" s="31"/>
      <c r="E138" s="31"/>
      <c r="F138" s="31"/>
      <c r="G138" s="30" t="s">
        <v>210</v>
      </c>
      <c r="H138" s="29">
        <v>3000</v>
      </c>
      <c r="I138" s="2" t="s">
        <v>202</v>
      </c>
    </row>
    <row r="139" spans="1:9" x14ac:dyDescent="0.3">
      <c r="A139" s="9"/>
      <c r="B139" s="8"/>
      <c r="C139" s="32"/>
      <c r="D139" s="31"/>
      <c r="E139" s="31"/>
      <c r="F139" s="31"/>
      <c r="G139" s="30" t="s">
        <v>342</v>
      </c>
      <c r="H139" s="29">
        <f>700*12</f>
        <v>8400</v>
      </c>
      <c r="I139" s="2" t="s">
        <v>202</v>
      </c>
    </row>
    <row r="140" spans="1:9" x14ac:dyDescent="0.3">
      <c r="A140" s="9"/>
      <c r="B140" s="8"/>
      <c r="C140" s="32"/>
      <c r="D140" s="31"/>
      <c r="E140" s="31"/>
      <c r="F140" s="31"/>
      <c r="G140" s="164" t="s">
        <v>211</v>
      </c>
      <c r="H140" s="29"/>
    </row>
    <row r="141" spans="1:9" x14ac:dyDescent="0.3">
      <c r="A141" s="9"/>
      <c r="B141" s="8"/>
      <c r="C141" s="32"/>
      <c r="D141" s="31"/>
      <c r="E141" s="31"/>
      <c r="F141" s="31"/>
      <c r="G141" s="57" t="s">
        <v>212</v>
      </c>
      <c r="H141" s="56">
        <f>7*2*182</f>
        <v>2548</v>
      </c>
      <c r="I141" s="2" t="s">
        <v>213</v>
      </c>
    </row>
    <row r="142" spans="1:9" x14ac:dyDescent="0.3">
      <c r="A142" s="9"/>
      <c r="B142" s="8"/>
      <c r="C142" s="19"/>
      <c r="D142" s="48"/>
      <c r="E142" s="48"/>
      <c r="F142" s="48"/>
      <c r="G142" s="165" t="s">
        <v>214</v>
      </c>
      <c r="H142" s="166">
        <f>SUM(H129:H141)</f>
        <v>85248</v>
      </c>
    </row>
    <row r="143" spans="1:9" x14ac:dyDescent="0.3">
      <c r="A143" s="9"/>
      <c r="B143" s="12" t="s">
        <v>215</v>
      </c>
      <c r="C143" s="11"/>
      <c r="D143" s="10">
        <f>SUM(D144)</f>
        <v>549380</v>
      </c>
      <c r="E143" s="10">
        <f>SUM(E144)</f>
        <v>434223</v>
      </c>
      <c r="F143" s="10">
        <f>D143-E143</f>
        <v>115157</v>
      </c>
      <c r="G143" s="169"/>
      <c r="H143" s="170"/>
    </row>
    <row r="144" spans="1:9" x14ac:dyDescent="0.3">
      <c r="A144" s="9"/>
      <c r="B144" s="8"/>
      <c r="C144" s="7" t="s">
        <v>215</v>
      </c>
      <c r="D144" s="47">
        <f>H160+H202+H214+H249+H260+H281</f>
        <v>549380</v>
      </c>
      <c r="E144" s="47">
        <v>434223</v>
      </c>
      <c r="F144" s="47">
        <f>D144-E144</f>
        <v>115157</v>
      </c>
      <c r="G144" s="35" t="s">
        <v>11</v>
      </c>
      <c r="H144" s="34"/>
    </row>
    <row r="145" spans="1:9" x14ac:dyDescent="0.3">
      <c r="A145" s="9"/>
      <c r="B145" s="8"/>
      <c r="C145" s="32"/>
      <c r="D145" s="31"/>
      <c r="E145" s="31"/>
      <c r="F145" s="31"/>
      <c r="G145" s="164" t="s">
        <v>216</v>
      </c>
      <c r="H145" s="29"/>
    </row>
    <row r="146" spans="1:9" x14ac:dyDescent="0.3">
      <c r="A146" s="9"/>
      <c r="B146" s="8"/>
      <c r="C146" s="32"/>
      <c r="D146" s="31"/>
      <c r="E146" s="31"/>
      <c r="F146" s="31"/>
      <c r="G146" s="30" t="s">
        <v>410</v>
      </c>
      <c r="H146" s="29">
        <f>5*44</f>
        <v>220</v>
      </c>
      <c r="I146" s="2" t="s">
        <v>217</v>
      </c>
    </row>
    <row r="147" spans="1:9" x14ac:dyDescent="0.3">
      <c r="A147" s="9"/>
      <c r="B147" s="8"/>
      <c r="C147" s="32"/>
      <c r="D147" s="31"/>
      <c r="E147" s="31"/>
      <c r="F147" s="31"/>
      <c r="G147" s="30" t="s">
        <v>412</v>
      </c>
      <c r="H147" s="29">
        <f>25*12</f>
        <v>300</v>
      </c>
      <c r="I147" s="2" t="s">
        <v>217</v>
      </c>
    </row>
    <row r="148" spans="1:9" x14ac:dyDescent="0.3">
      <c r="A148" s="9"/>
      <c r="B148" s="8"/>
      <c r="C148" s="32"/>
      <c r="D148" s="31"/>
      <c r="E148" s="31"/>
      <c r="F148" s="31"/>
      <c r="G148" s="164" t="s">
        <v>218</v>
      </c>
      <c r="H148" s="29"/>
    </row>
    <row r="149" spans="1:9" x14ac:dyDescent="0.3">
      <c r="A149" s="9"/>
      <c r="B149" s="8"/>
      <c r="C149" s="32"/>
      <c r="D149" s="31"/>
      <c r="E149" s="31"/>
      <c r="F149" s="31"/>
      <c r="G149" s="55" t="s">
        <v>219</v>
      </c>
      <c r="H149" s="43">
        <f>500*1</f>
        <v>500</v>
      </c>
      <c r="I149" s="2" t="s">
        <v>220</v>
      </c>
    </row>
    <row r="150" spans="1:9" x14ac:dyDescent="0.3">
      <c r="A150" s="9"/>
      <c r="B150" s="8"/>
      <c r="C150" s="32"/>
      <c r="D150" s="31"/>
      <c r="E150" s="31"/>
      <c r="F150" s="31"/>
      <c r="G150" s="55" t="s">
        <v>221</v>
      </c>
      <c r="H150" s="43">
        <f>1000*1</f>
        <v>1000</v>
      </c>
      <c r="I150" s="2" t="s">
        <v>222</v>
      </c>
    </row>
    <row r="151" spans="1:9" x14ac:dyDescent="0.3">
      <c r="A151" s="9"/>
      <c r="B151" s="8"/>
      <c r="C151" s="32"/>
      <c r="D151" s="31"/>
      <c r="E151" s="31"/>
      <c r="F151" s="31"/>
      <c r="G151" s="55" t="s">
        <v>428</v>
      </c>
      <c r="H151" s="43">
        <v>500</v>
      </c>
      <c r="I151" s="2" t="s">
        <v>222</v>
      </c>
    </row>
    <row r="152" spans="1:9" x14ac:dyDescent="0.3">
      <c r="A152" s="9"/>
      <c r="B152" s="8"/>
      <c r="C152" s="32"/>
      <c r="D152" s="31"/>
      <c r="E152" s="31"/>
      <c r="F152" s="31"/>
      <c r="G152" s="55" t="s">
        <v>429</v>
      </c>
      <c r="H152" s="43">
        <f>10*50</f>
        <v>500</v>
      </c>
      <c r="I152" s="2" t="s">
        <v>223</v>
      </c>
    </row>
    <row r="153" spans="1:9" x14ac:dyDescent="0.3">
      <c r="A153" s="9"/>
      <c r="B153" s="8"/>
      <c r="C153" s="32"/>
      <c r="D153" s="31"/>
      <c r="E153" s="31"/>
      <c r="F153" s="31"/>
      <c r="G153" s="164" t="s">
        <v>224</v>
      </c>
      <c r="H153" s="29"/>
    </row>
    <row r="154" spans="1:9" x14ac:dyDescent="0.3">
      <c r="A154" s="9"/>
      <c r="B154" s="8"/>
      <c r="C154" s="32"/>
      <c r="D154" s="31"/>
      <c r="E154" s="31"/>
      <c r="F154" s="31"/>
      <c r="G154" s="30" t="s">
        <v>225</v>
      </c>
      <c r="H154" s="29">
        <f>500*1</f>
        <v>500</v>
      </c>
      <c r="I154" s="2" t="s">
        <v>226</v>
      </c>
    </row>
    <row r="155" spans="1:9" x14ac:dyDescent="0.3">
      <c r="A155" s="9"/>
      <c r="B155" s="8"/>
      <c r="C155" s="32"/>
      <c r="D155" s="31"/>
      <c r="E155" s="31"/>
      <c r="F155" s="31"/>
      <c r="G155" s="30" t="s">
        <v>227</v>
      </c>
      <c r="H155" s="29">
        <f>1000*1</f>
        <v>1000</v>
      </c>
      <c r="I155" s="2" t="s">
        <v>228</v>
      </c>
    </row>
    <row r="156" spans="1:9" x14ac:dyDescent="0.3">
      <c r="A156" s="9"/>
      <c r="B156" s="8"/>
      <c r="C156" s="32"/>
      <c r="D156" s="31"/>
      <c r="E156" s="31"/>
      <c r="F156" s="31"/>
      <c r="G156" s="30" t="s">
        <v>465</v>
      </c>
      <c r="H156" s="29">
        <f>5*65</f>
        <v>325</v>
      </c>
      <c r="I156" s="2" t="s">
        <v>229</v>
      </c>
    </row>
    <row r="157" spans="1:9" x14ac:dyDescent="0.3">
      <c r="A157" s="9"/>
      <c r="B157" s="8"/>
      <c r="C157" s="32"/>
      <c r="D157" s="31"/>
      <c r="E157" s="31"/>
      <c r="F157" s="31"/>
      <c r="G157" s="30" t="s">
        <v>468</v>
      </c>
      <c r="H157" s="29">
        <f>20*5*2</f>
        <v>200</v>
      </c>
      <c r="I157" s="2" t="s">
        <v>469</v>
      </c>
    </row>
    <row r="158" spans="1:9" x14ac:dyDescent="0.3">
      <c r="A158" s="9"/>
      <c r="B158" s="8"/>
      <c r="C158" s="32"/>
      <c r="D158" s="31"/>
      <c r="E158" s="31"/>
      <c r="F158" s="31"/>
      <c r="G158" s="30" t="s">
        <v>466</v>
      </c>
      <c r="H158" s="29">
        <f>5*65</f>
        <v>325</v>
      </c>
      <c r="I158" s="2" t="s">
        <v>229</v>
      </c>
    </row>
    <row r="159" spans="1:9" x14ac:dyDescent="0.3">
      <c r="A159" s="9"/>
      <c r="B159" s="8"/>
      <c r="C159" s="32"/>
      <c r="D159" s="31"/>
      <c r="E159" s="31"/>
      <c r="F159" s="53"/>
      <c r="G159" s="160" t="s">
        <v>230</v>
      </c>
      <c r="H159" s="162">
        <f>400*10</f>
        <v>4000</v>
      </c>
      <c r="I159" s="2" t="s">
        <v>231</v>
      </c>
    </row>
    <row r="160" spans="1:9" x14ac:dyDescent="0.3">
      <c r="A160" s="9"/>
      <c r="B160" s="8"/>
      <c r="C160" s="32"/>
      <c r="D160" s="31"/>
      <c r="E160" s="31"/>
      <c r="F160" s="31"/>
      <c r="G160" s="167" t="s">
        <v>33</v>
      </c>
      <c r="H160" s="168">
        <f>SUM(H146:H159)</f>
        <v>9370</v>
      </c>
    </row>
    <row r="161" spans="1:11" x14ac:dyDescent="0.3">
      <c r="A161" s="9"/>
      <c r="B161" s="8"/>
      <c r="C161" s="32"/>
      <c r="D161" s="31"/>
      <c r="E161" s="31"/>
      <c r="F161" s="31"/>
      <c r="G161" s="35" t="s">
        <v>232</v>
      </c>
      <c r="H161" s="34"/>
    </row>
    <row r="162" spans="1:11" x14ac:dyDescent="0.3">
      <c r="A162" s="9"/>
      <c r="B162" s="8"/>
      <c r="C162" s="32"/>
      <c r="D162" s="31"/>
      <c r="E162" s="31"/>
      <c r="F162" s="31"/>
      <c r="G162" s="164" t="s">
        <v>233</v>
      </c>
      <c r="H162" s="29"/>
    </row>
    <row r="163" spans="1:11" x14ac:dyDescent="0.3">
      <c r="A163" s="9"/>
      <c r="B163" s="8"/>
      <c r="C163" s="32"/>
      <c r="D163" s="31"/>
      <c r="E163" s="31"/>
      <c r="F163" s="31"/>
      <c r="G163" s="30" t="s">
        <v>413</v>
      </c>
      <c r="H163" s="29">
        <f>20*44*1</f>
        <v>880</v>
      </c>
      <c r="I163" s="2" t="s">
        <v>234</v>
      </c>
    </row>
    <row r="164" spans="1:11" x14ac:dyDescent="0.3">
      <c r="A164" s="9"/>
      <c r="B164" s="8"/>
      <c r="C164" s="32"/>
      <c r="D164" s="31"/>
      <c r="E164" s="31"/>
      <c r="F164" s="31"/>
      <c r="G164" s="30" t="s">
        <v>418</v>
      </c>
      <c r="H164" s="29">
        <f>20*44*1</f>
        <v>880</v>
      </c>
      <c r="I164" s="2" t="s">
        <v>234</v>
      </c>
    </row>
    <row r="165" spans="1:11" x14ac:dyDescent="0.3">
      <c r="A165" s="9"/>
      <c r="B165" s="8"/>
      <c r="C165" s="32"/>
      <c r="D165" s="31"/>
      <c r="E165" s="31"/>
      <c r="F165" s="31"/>
      <c r="G165" s="30" t="s">
        <v>414</v>
      </c>
      <c r="H165" s="29">
        <f>10*44</f>
        <v>440</v>
      </c>
      <c r="I165" s="2" t="s">
        <v>235</v>
      </c>
    </row>
    <row r="166" spans="1:11" x14ac:dyDescent="0.3">
      <c r="A166" s="9"/>
      <c r="B166" s="8"/>
      <c r="C166" s="32"/>
      <c r="D166" s="31"/>
      <c r="E166" s="31"/>
      <c r="F166" s="31"/>
      <c r="G166" s="30" t="s">
        <v>419</v>
      </c>
      <c r="H166" s="29">
        <f>20*44*6</f>
        <v>5280</v>
      </c>
      <c r="I166" s="2" t="s">
        <v>235</v>
      </c>
    </row>
    <row r="167" spans="1:11" x14ac:dyDescent="0.3">
      <c r="A167" s="9"/>
      <c r="B167" s="8"/>
      <c r="C167" s="32"/>
      <c r="D167" s="31"/>
      <c r="E167" s="31"/>
      <c r="F167" s="31"/>
      <c r="G167" s="30" t="s">
        <v>423</v>
      </c>
      <c r="H167" s="29">
        <f>20*44*2</f>
        <v>1760</v>
      </c>
      <c r="I167" s="2" t="s">
        <v>235</v>
      </c>
    </row>
    <row r="168" spans="1:11" x14ac:dyDescent="0.3">
      <c r="A168" s="9"/>
      <c r="B168" s="8"/>
      <c r="C168" s="32"/>
      <c r="D168" s="31"/>
      <c r="E168" s="31"/>
      <c r="F168" s="31"/>
      <c r="G168" s="30" t="s">
        <v>421</v>
      </c>
      <c r="H168" s="29">
        <f>10*80</f>
        <v>800</v>
      </c>
      <c r="I168" s="2" t="s">
        <v>236</v>
      </c>
    </row>
    <row r="169" spans="1:11" x14ac:dyDescent="0.3">
      <c r="A169" s="9"/>
      <c r="B169" s="8"/>
      <c r="C169" s="32"/>
      <c r="D169" s="31"/>
      <c r="E169" s="31"/>
      <c r="F169" s="31"/>
      <c r="G169" s="30" t="s">
        <v>420</v>
      </c>
      <c r="H169" s="29">
        <v>700</v>
      </c>
      <c r="I169" s="2" t="s">
        <v>236</v>
      </c>
      <c r="K169" s="1" t="s">
        <v>514</v>
      </c>
    </row>
    <row r="170" spans="1:11" x14ac:dyDescent="0.3">
      <c r="A170" s="9"/>
      <c r="B170" s="8"/>
      <c r="C170" s="32"/>
      <c r="D170" s="31"/>
      <c r="E170" s="31"/>
      <c r="F170" s="31"/>
      <c r="G170" s="30" t="s">
        <v>424</v>
      </c>
      <c r="H170" s="29">
        <f>10*44</f>
        <v>440</v>
      </c>
      <c r="I170" s="2" t="s">
        <v>237</v>
      </c>
    </row>
    <row r="171" spans="1:11" x14ac:dyDescent="0.3">
      <c r="A171" s="9"/>
      <c r="B171" s="8"/>
      <c r="C171" s="32"/>
      <c r="D171" s="31"/>
      <c r="E171" s="31"/>
      <c r="F171" s="31"/>
      <c r="G171" s="30" t="s">
        <v>415</v>
      </c>
      <c r="H171" s="29">
        <f>20*44</f>
        <v>880</v>
      </c>
      <c r="I171" s="2" t="s">
        <v>235</v>
      </c>
    </row>
    <row r="172" spans="1:11" x14ac:dyDescent="0.3">
      <c r="A172" s="9"/>
      <c r="B172" s="8"/>
      <c r="C172" s="32"/>
      <c r="D172" s="31"/>
      <c r="E172" s="31"/>
      <c r="F172" s="31"/>
      <c r="G172" s="30" t="s">
        <v>425</v>
      </c>
      <c r="H172" s="29">
        <f>50*44</f>
        <v>2200</v>
      </c>
      <c r="I172" s="2" t="s">
        <v>235</v>
      </c>
    </row>
    <row r="173" spans="1:11" x14ac:dyDescent="0.3">
      <c r="A173" s="9"/>
      <c r="B173" s="8"/>
      <c r="C173" s="32"/>
      <c r="D173" s="31"/>
      <c r="E173" s="31"/>
      <c r="F173" s="31"/>
      <c r="G173" s="164" t="s">
        <v>238</v>
      </c>
      <c r="H173" s="29"/>
    </row>
    <row r="174" spans="1:11" x14ac:dyDescent="0.3">
      <c r="A174" s="9"/>
      <c r="B174" s="8"/>
      <c r="C174" s="32"/>
      <c r="D174" s="31"/>
      <c r="E174" s="31"/>
      <c r="F174" s="31"/>
      <c r="G174" s="55" t="s">
        <v>239</v>
      </c>
      <c r="H174" s="43">
        <f>400*22</f>
        <v>8800</v>
      </c>
      <c r="I174" s="2" t="s">
        <v>240</v>
      </c>
    </row>
    <row r="175" spans="1:11" x14ac:dyDescent="0.3">
      <c r="A175" s="9"/>
      <c r="B175" s="8"/>
      <c r="C175" s="32"/>
      <c r="D175" s="31"/>
      <c r="E175" s="31"/>
      <c r="F175" s="31"/>
      <c r="G175" s="55" t="s">
        <v>431</v>
      </c>
      <c r="H175" s="43">
        <f>10*220</f>
        <v>2200</v>
      </c>
      <c r="I175" s="2" t="s">
        <v>213</v>
      </c>
    </row>
    <row r="176" spans="1:11" ht="24" x14ac:dyDescent="0.3">
      <c r="A176" s="9"/>
      <c r="B176" s="8"/>
      <c r="C176" s="32"/>
      <c r="D176" s="31"/>
      <c r="E176" s="31"/>
      <c r="F176" s="31"/>
      <c r="G176" s="55" t="s">
        <v>450</v>
      </c>
      <c r="H176" s="43">
        <f>40*180*2</f>
        <v>14400</v>
      </c>
      <c r="I176" s="2" t="s">
        <v>222</v>
      </c>
    </row>
    <row r="177" spans="1:9" s="146" customFormat="1" x14ac:dyDescent="0.3">
      <c r="A177" s="154"/>
      <c r="B177" s="155"/>
      <c r="C177" s="156"/>
      <c r="D177" s="157"/>
      <c r="E177" s="157"/>
      <c r="F177" s="157"/>
      <c r="G177" s="55" t="s">
        <v>12</v>
      </c>
      <c r="H177" s="43">
        <f>15*220</f>
        <v>3300</v>
      </c>
      <c r="I177" s="2" t="s">
        <v>222</v>
      </c>
    </row>
    <row r="178" spans="1:9" x14ac:dyDescent="0.3">
      <c r="A178" s="9"/>
      <c r="B178" s="8"/>
      <c r="C178" s="32"/>
      <c r="D178" s="31"/>
      <c r="E178" s="31"/>
      <c r="F178" s="31"/>
      <c r="G178" s="55" t="s">
        <v>453</v>
      </c>
      <c r="H178" s="43">
        <f>30*220</f>
        <v>6600</v>
      </c>
      <c r="I178" s="2" t="s">
        <v>222</v>
      </c>
    </row>
    <row r="179" spans="1:9" x14ac:dyDescent="0.3">
      <c r="A179" s="9"/>
      <c r="B179" s="8"/>
      <c r="C179" s="32"/>
      <c r="D179" s="31"/>
      <c r="E179" s="31"/>
      <c r="F179" s="31"/>
      <c r="G179" s="55" t="s">
        <v>444</v>
      </c>
      <c r="H179" s="43">
        <f>165*11*2</f>
        <v>3630</v>
      </c>
      <c r="I179" s="2" t="s">
        <v>222</v>
      </c>
    </row>
    <row r="180" spans="1:9" x14ac:dyDescent="0.3">
      <c r="A180" s="9"/>
      <c r="B180" s="8"/>
      <c r="C180" s="32"/>
      <c r="D180" s="31"/>
      <c r="E180" s="31"/>
      <c r="F180" s="31"/>
      <c r="G180" s="55" t="s">
        <v>457</v>
      </c>
      <c r="H180" s="43">
        <f>10000</f>
        <v>10000</v>
      </c>
      <c r="I180" s="2" t="s">
        <v>222</v>
      </c>
    </row>
    <row r="181" spans="1:9" x14ac:dyDescent="0.3">
      <c r="A181" s="9"/>
      <c r="B181" s="8"/>
      <c r="C181" s="32"/>
      <c r="D181" s="31"/>
      <c r="E181" s="31"/>
      <c r="F181" s="31"/>
      <c r="G181" s="55" t="s">
        <v>445</v>
      </c>
      <c r="H181" s="43">
        <f>5*220</f>
        <v>1100</v>
      </c>
      <c r="I181" s="2" t="s">
        <v>222</v>
      </c>
    </row>
    <row r="182" spans="1:9" x14ac:dyDescent="0.3">
      <c r="A182" s="9"/>
      <c r="B182" s="8"/>
      <c r="C182" s="32"/>
      <c r="D182" s="31"/>
      <c r="E182" s="31"/>
      <c r="F182" s="31"/>
      <c r="G182" s="30" t="s">
        <v>430</v>
      </c>
      <c r="H182" s="29">
        <f>1000*2</f>
        <v>2000</v>
      </c>
      <c r="I182" s="2" t="s">
        <v>222</v>
      </c>
    </row>
    <row r="183" spans="1:9" x14ac:dyDescent="0.3">
      <c r="A183" s="9"/>
      <c r="B183" s="8"/>
      <c r="C183" s="32"/>
      <c r="D183" s="31"/>
      <c r="E183" s="31"/>
      <c r="F183" s="31"/>
      <c r="G183" s="164" t="s">
        <v>243</v>
      </c>
      <c r="H183" s="29"/>
    </row>
    <row r="184" spans="1:9" x14ac:dyDescent="0.3">
      <c r="A184" s="9"/>
      <c r="B184" s="8"/>
      <c r="C184" s="32"/>
      <c r="D184" s="31"/>
      <c r="E184" s="31"/>
      <c r="F184" s="31"/>
      <c r="G184" s="30" t="s">
        <v>471</v>
      </c>
      <c r="H184" s="29">
        <f>10*100</f>
        <v>1000</v>
      </c>
      <c r="I184" s="2" t="s">
        <v>244</v>
      </c>
    </row>
    <row r="185" spans="1:9" x14ac:dyDescent="0.3">
      <c r="A185" s="9"/>
      <c r="B185" s="8"/>
      <c r="C185" s="32"/>
      <c r="D185" s="31"/>
      <c r="E185" s="31"/>
      <c r="F185" s="31"/>
      <c r="G185" s="30" t="s">
        <v>245</v>
      </c>
      <c r="H185" s="29">
        <f>20*160</f>
        <v>3200</v>
      </c>
      <c r="I185" s="2" t="s">
        <v>244</v>
      </c>
    </row>
    <row r="186" spans="1:9" x14ac:dyDescent="0.3">
      <c r="A186" s="9"/>
      <c r="B186" s="8"/>
      <c r="C186" s="32"/>
      <c r="D186" s="31"/>
      <c r="E186" s="31"/>
      <c r="F186" s="31"/>
      <c r="G186" s="30" t="s">
        <v>246</v>
      </c>
      <c r="H186" s="29">
        <f>500</f>
        <v>500</v>
      </c>
      <c r="I186" s="2" t="s">
        <v>244</v>
      </c>
    </row>
    <row r="187" spans="1:9" x14ac:dyDescent="0.3">
      <c r="A187" s="9"/>
      <c r="B187" s="8"/>
      <c r="C187" s="32"/>
      <c r="D187" s="31"/>
      <c r="E187" s="31"/>
      <c r="F187" s="31"/>
      <c r="G187" s="30" t="s">
        <v>247</v>
      </c>
      <c r="H187" s="29">
        <f>2000</f>
        <v>2000</v>
      </c>
      <c r="I187" s="2" t="s">
        <v>244</v>
      </c>
    </row>
    <row r="188" spans="1:9" x14ac:dyDescent="0.3">
      <c r="A188" s="9"/>
      <c r="B188" s="8"/>
      <c r="C188" s="32"/>
      <c r="D188" s="31"/>
      <c r="E188" s="31"/>
      <c r="F188" s="31"/>
      <c r="G188" s="30" t="s">
        <v>248</v>
      </c>
      <c r="H188" s="29">
        <f>1500</f>
        <v>1500</v>
      </c>
      <c r="I188" s="2" t="s">
        <v>244</v>
      </c>
    </row>
    <row r="189" spans="1:9" x14ac:dyDescent="0.3">
      <c r="A189" s="9"/>
      <c r="B189" s="8"/>
      <c r="C189" s="32"/>
      <c r="D189" s="31"/>
      <c r="E189" s="31"/>
      <c r="F189" s="31"/>
      <c r="G189" s="30" t="s">
        <v>249</v>
      </c>
      <c r="H189" s="29">
        <f>3000</f>
        <v>3000</v>
      </c>
      <c r="I189" s="2" t="s">
        <v>244</v>
      </c>
    </row>
    <row r="190" spans="1:9" x14ac:dyDescent="0.3">
      <c r="A190" s="9"/>
      <c r="B190" s="8"/>
      <c r="C190" s="32"/>
      <c r="D190" s="31"/>
      <c r="E190" s="31"/>
      <c r="F190" s="31"/>
      <c r="G190" s="30" t="s">
        <v>478</v>
      </c>
      <c r="H190" s="29">
        <f>20*160</f>
        <v>3200</v>
      </c>
      <c r="I190" s="2" t="s">
        <v>244</v>
      </c>
    </row>
    <row r="191" spans="1:9" x14ac:dyDescent="0.3">
      <c r="A191" s="9"/>
      <c r="B191" s="8"/>
      <c r="C191" s="32"/>
      <c r="D191" s="31"/>
      <c r="E191" s="31"/>
      <c r="F191" s="31"/>
      <c r="G191" s="30" t="s">
        <v>250</v>
      </c>
      <c r="H191" s="29">
        <v>1000</v>
      </c>
      <c r="I191" s="2" t="s">
        <v>244</v>
      </c>
    </row>
    <row r="192" spans="1:9" x14ac:dyDescent="0.3">
      <c r="A192" s="9"/>
      <c r="B192" s="8"/>
      <c r="C192" s="32"/>
      <c r="D192" s="31"/>
      <c r="E192" s="31"/>
      <c r="F192" s="31"/>
      <c r="G192" s="30" t="s">
        <v>9</v>
      </c>
      <c r="H192" s="29">
        <f>10000</f>
        <v>10000</v>
      </c>
      <c r="I192" s="2" t="s">
        <v>244</v>
      </c>
    </row>
    <row r="193" spans="1:9" x14ac:dyDescent="0.3">
      <c r="A193" s="9"/>
      <c r="B193" s="8"/>
      <c r="C193" s="32"/>
      <c r="D193" s="31"/>
      <c r="E193" s="31"/>
      <c r="F193" s="31"/>
      <c r="G193" s="30" t="s">
        <v>8</v>
      </c>
      <c r="H193" s="29">
        <v>1000</v>
      </c>
      <c r="I193" s="2" t="s">
        <v>244</v>
      </c>
    </row>
    <row r="194" spans="1:9" x14ac:dyDescent="0.3">
      <c r="A194" s="9"/>
      <c r="B194" s="8"/>
      <c r="C194" s="32"/>
      <c r="D194" s="31"/>
      <c r="E194" s="31"/>
      <c r="F194" s="53"/>
      <c r="G194" s="176" t="s">
        <v>495</v>
      </c>
      <c r="H194" s="177">
        <f>50*100</f>
        <v>5000</v>
      </c>
      <c r="I194" s="178" t="s">
        <v>244</v>
      </c>
    </row>
    <row r="195" spans="1:9" x14ac:dyDescent="0.3">
      <c r="A195" s="9"/>
      <c r="B195" s="8"/>
      <c r="C195" s="32"/>
      <c r="D195" s="31"/>
      <c r="E195" s="31"/>
      <c r="F195" s="31"/>
      <c r="G195" s="30" t="s">
        <v>479</v>
      </c>
      <c r="H195" s="29">
        <f>800</f>
        <v>800</v>
      </c>
      <c r="I195" s="2" t="s">
        <v>244</v>
      </c>
    </row>
    <row r="196" spans="1:9" x14ac:dyDescent="0.3">
      <c r="A196" s="9"/>
      <c r="B196" s="8"/>
      <c r="C196" s="32"/>
      <c r="D196" s="31"/>
      <c r="E196" s="31"/>
      <c r="F196" s="31"/>
      <c r="G196" s="30" t="s">
        <v>251</v>
      </c>
      <c r="H196" s="29">
        <f>10*160</f>
        <v>1600</v>
      </c>
      <c r="I196" s="2" t="s">
        <v>244</v>
      </c>
    </row>
    <row r="197" spans="1:9" x14ac:dyDescent="0.3">
      <c r="A197" s="9"/>
      <c r="B197" s="8"/>
      <c r="C197" s="32"/>
      <c r="D197" s="31"/>
      <c r="E197" s="31"/>
      <c r="F197" s="31"/>
      <c r="G197" s="30" t="s">
        <v>7</v>
      </c>
      <c r="H197" s="29">
        <v>1000</v>
      </c>
      <c r="I197" s="2" t="s">
        <v>244</v>
      </c>
    </row>
    <row r="198" spans="1:9" x14ac:dyDescent="0.3">
      <c r="A198" s="9"/>
      <c r="B198" s="8"/>
      <c r="C198" s="32"/>
      <c r="D198" s="31"/>
      <c r="E198" s="31"/>
      <c r="F198" s="31"/>
      <c r="G198" s="30" t="s">
        <v>6</v>
      </c>
      <c r="H198" s="29">
        <f>1000*10</f>
        <v>10000</v>
      </c>
      <c r="I198" s="2" t="s">
        <v>244</v>
      </c>
    </row>
    <row r="199" spans="1:9" x14ac:dyDescent="0.3">
      <c r="A199" s="9"/>
      <c r="B199" s="8"/>
      <c r="C199" s="32"/>
      <c r="D199" s="31"/>
      <c r="E199" s="31"/>
      <c r="F199" s="31"/>
      <c r="G199" s="30" t="s">
        <v>252</v>
      </c>
      <c r="H199" s="29">
        <f>1000*5</f>
        <v>5000</v>
      </c>
      <c r="I199" s="2" t="s">
        <v>244</v>
      </c>
    </row>
    <row r="200" spans="1:9" s="146" customFormat="1" x14ac:dyDescent="0.3">
      <c r="A200" s="154"/>
      <c r="B200" s="155"/>
      <c r="C200" s="156"/>
      <c r="D200" s="157"/>
      <c r="E200" s="157"/>
      <c r="F200" s="157"/>
      <c r="G200" s="30" t="s">
        <v>253</v>
      </c>
      <c r="H200" s="29">
        <f>1000*7</f>
        <v>7000</v>
      </c>
      <c r="I200" s="2" t="s">
        <v>244</v>
      </c>
    </row>
    <row r="201" spans="1:9" s="146" customFormat="1" x14ac:dyDescent="0.3">
      <c r="A201" s="154"/>
      <c r="B201" s="155"/>
      <c r="C201" s="156"/>
      <c r="D201" s="157"/>
      <c r="E201" s="157"/>
      <c r="F201" s="163"/>
      <c r="G201" s="160" t="s">
        <v>254</v>
      </c>
      <c r="H201" s="161">
        <f>1000*2</f>
        <v>2000</v>
      </c>
      <c r="I201" s="178" t="s">
        <v>244</v>
      </c>
    </row>
    <row r="202" spans="1:9" x14ac:dyDescent="0.3">
      <c r="A202" s="9"/>
      <c r="B202" s="8"/>
      <c r="C202" s="32"/>
      <c r="D202" s="31"/>
      <c r="E202" s="31"/>
      <c r="F202" s="31"/>
      <c r="G202" s="167" t="s">
        <v>255</v>
      </c>
      <c r="H202" s="168">
        <f>SUM(H163:H201)</f>
        <v>125090</v>
      </c>
    </row>
    <row r="203" spans="1:9" x14ac:dyDescent="0.3">
      <c r="A203" s="9"/>
      <c r="B203" s="8"/>
      <c r="C203" s="32"/>
      <c r="D203" s="31"/>
      <c r="E203" s="31"/>
      <c r="F203" s="31"/>
      <c r="G203" s="35" t="s">
        <v>256</v>
      </c>
      <c r="H203" s="34"/>
    </row>
    <row r="204" spans="1:9" x14ac:dyDescent="0.3">
      <c r="A204" s="9"/>
      <c r="B204" s="8"/>
      <c r="C204" s="32"/>
      <c r="D204" s="31"/>
      <c r="E204" s="31"/>
      <c r="F204" s="31"/>
      <c r="G204" s="164" t="s">
        <v>257</v>
      </c>
      <c r="H204" s="29"/>
    </row>
    <row r="205" spans="1:9" x14ac:dyDescent="0.3">
      <c r="A205" s="9"/>
      <c r="B205" s="8"/>
      <c r="C205" s="32"/>
      <c r="D205" s="31"/>
      <c r="E205" s="31"/>
      <c r="F205" s="31"/>
      <c r="G205" s="30" t="s">
        <v>258</v>
      </c>
      <c r="H205" s="29">
        <f>50*30</f>
        <v>1500</v>
      </c>
      <c r="I205" s="2" t="s">
        <v>259</v>
      </c>
    </row>
    <row r="206" spans="1:9" x14ac:dyDescent="0.3">
      <c r="A206" s="9"/>
      <c r="B206" s="8"/>
      <c r="C206" s="32"/>
      <c r="D206" s="31"/>
      <c r="E206" s="31"/>
      <c r="F206" s="31"/>
      <c r="G206" s="164" t="s">
        <v>260</v>
      </c>
      <c r="H206" s="29"/>
    </row>
    <row r="207" spans="1:9" x14ac:dyDescent="0.3">
      <c r="A207" s="9"/>
      <c r="B207" s="8"/>
      <c r="C207" s="32"/>
      <c r="D207" s="31"/>
      <c r="E207" s="31"/>
      <c r="F207" s="31"/>
      <c r="G207" s="55" t="s">
        <v>261</v>
      </c>
      <c r="H207" s="43">
        <f>50*50</f>
        <v>2500</v>
      </c>
      <c r="I207" s="2" t="s">
        <v>222</v>
      </c>
    </row>
    <row r="208" spans="1:9" x14ac:dyDescent="0.3">
      <c r="A208" s="9"/>
      <c r="B208" s="8"/>
      <c r="C208" s="32"/>
      <c r="D208" s="31"/>
      <c r="E208" s="31"/>
      <c r="F208" s="31"/>
      <c r="G208" s="55" t="s">
        <v>262</v>
      </c>
      <c r="H208" s="43">
        <f>10*400*2</f>
        <v>8000</v>
      </c>
      <c r="I208" s="2" t="s">
        <v>222</v>
      </c>
    </row>
    <row r="209" spans="1:9" x14ac:dyDescent="0.3">
      <c r="A209" s="9"/>
      <c r="B209" s="8"/>
      <c r="C209" s="32"/>
      <c r="D209" s="31"/>
      <c r="E209" s="31"/>
      <c r="F209" s="31"/>
      <c r="G209" s="179" t="s">
        <v>243</v>
      </c>
      <c r="H209" s="43"/>
    </row>
    <row r="210" spans="1:9" x14ac:dyDescent="0.3">
      <c r="A210" s="9"/>
      <c r="B210" s="8"/>
      <c r="C210" s="32"/>
      <c r="D210" s="31"/>
      <c r="E210" s="31"/>
      <c r="F210" s="53"/>
      <c r="G210" s="176" t="s">
        <v>482</v>
      </c>
      <c r="H210" s="177">
        <f>10*200*2</f>
        <v>4000</v>
      </c>
      <c r="I210" s="178" t="s">
        <v>244</v>
      </c>
    </row>
    <row r="211" spans="1:9" x14ac:dyDescent="0.3">
      <c r="A211" s="9"/>
      <c r="B211" s="8"/>
      <c r="C211" s="32"/>
      <c r="D211" s="31"/>
      <c r="E211" s="31"/>
      <c r="F211" s="53"/>
      <c r="G211" s="160" t="s">
        <v>261</v>
      </c>
      <c r="H211" s="162">
        <f>50*50</f>
        <v>2500</v>
      </c>
      <c r="I211" s="2" t="s">
        <v>244</v>
      </c>
    </row>
    <row r="212" spans="1:9" x14ac:dyDescent="0.3">
      <c r="A212" s="9"/>
      <c r="B212" s="8"/>
      <c r="C212" s="32"/>
      <c r="D212" s="31"/>
      <c r="E212" s="31"/>
      <c r="F212" s="53"/>
      <c r="G212" s="160" t="s">
        <v>263</v>
      </c>
      <c r="H212" s="161">
        <f>1500</f>
        <v>1500</v>
      </c>
      <c r="I212" s="178" t="s">
        <v>244</v>
      </c>
    </row>
    <row r="213" spans="1:9" x14ac:dyDescent="0.3">
      <c r="A213" s="9"/>
      <c r="B213" s="8"/>
      <c r="C213" s="32"/>
      <c r="D213" s="31"/>
      <c r="E213" s="31"/>
      <c r="F213" s="53"/>
      <c r="G213" s="160" t="s">
        <v>476</v>
      </c>
      <c r="H213" s="161">
        <f>30*250</f>
        <v>7500</v>
      </c>
      <c r="I213" s="178" t="s">
        <v>244</v>
      </c>
    </row>
    <row r="214" spans="1:9" x14ac:dyDescent="0.3">
      <c r="A214" s="9"/>
      <c r="B214" s="8"/>
      <c r="C214" s="32"/>
      <c r="D214" s="31"/>
      <c r="E214" s="31"/>
      <c r="F214" s="31"/>
      <c r="G214" s="167" t="s">
        <v>255</v>
      </c>
      <c r="H214" s="168">
        <f>SUM(H205:H213)</f>
        <v>27500</v>
      </c>
    </row>
    <row r="215" spans="1:9" x14ac:dyDescent="0.3">
      <c r="A215" s="9"/>
      <c r="B215" s="8"/>
      <c r="C215" s="32"/>
      <c r="D215" s="31"/>
      <c r="E215" s="31"/>
      <c r="F215" s="31"/>
      <c r="G215" s="35" t="s">
        <v>264</v>
      </c>
      <c r="H215" s="34"/>
    </row>
    <row r="216" spans="1:9" x14ac:dyDescent="0.3">
      <c r="A216" s="9"/>
      <c r="B216" s="8"/>
      <c r="C216" s="32"/>
      <c r="D216" s="31"/>
      <c r="E216" s="31"/>
      <c r="F216" s="31"/>
      <c r="G216" s="164" t="s">
        <v>257</v>
      </c>
      <c r="H216" s="29"/>
    </row>
    <row r="217" spans="1:9" x14ac:dyDescent="0.3">
      <c r="A217" s="9"/>
      <c r="B217" s="8"/>
      <c r="C217" s="32"/>
      <c r="D217" s="31"/>
      <c r="E217" s="31"/>
      <c r="F217" s="31"/>
      <c r="G217" s="30" t="s">
        <v>427</v>
      </c>
      <c r="H217" s="29">
        <f>25*44*4</f>
        <v>4400</v>
      </c>
      <c r="I217" s="2" t="s">
        <v>259</v>
      </c>
    </row>
    <row r="218" spans="1:9" x14ac:dyDescent="0.3">
      <c r="A218" s="9"/>
      <c r="B218" s="8"/>
      <c r="C218" s="32"/>
      <c r="D218" s="31"/>
      <c r="E218" s="31"/>
      <c r="F218" s="31"/>
      <c r="G218" s="55" t="s">
        <v>426</v>
      </c>
      <c r="H218" s="43">
        <f>25*44*4</f>
        <v>4400</v>
      </c>
      <c r="I218" s="2" t="s">
        <v>259</v>
      </c>
    </row>
    <row r="219" spans="1:9" x14ac:dyDescent="0.3">
      <c r="A219" s="9"/>
      <c r="B219" s="8"/>
      <c r="C219" s="32"/>
      <c r="D219" s="31"/>
      <c r="E219" s="31"/>
      <c r="F219" s="31"/>
      <c r="G219" s="30" t="s">
        <v>411</v>
      </c>
      <c r="H219" s="29">
        <f>300*3*2</f>
        <v>1800</v>
      </c>
      <c r="I219" s="2" t="s">
        <v>259</v>
      </c>
    </row>
    <row r="220" spans="1:9" x14ac:dyDescent="0.3">
      <c r="A220" s="9"/>
      <c r="B220" s="8"/>
      <c r="C220" s="32"/>
      <c r="D220" s="31"/>
      <c r="E220" s="31"/>
      <c r="F220" s="31"/>
      <c r="G220" s="30" t="s">
        <v>416</v>
      </c>
      <c r="H220" s="29">
        <f>50*44*2</f>
        <v>4400</v>
      </c>
      <c r="I220" s="2" t="s">
        <v>259</v>
      </c>
    </row>
    <row r="221" spans="1:9" x14ac:dyDescent="0.3">
      <c r="A221" s="9"/>
      <c r="B221" s="8"/>
      <c r="C221" s="32"/>
      <c r="D221" s="31"/>
      <c r="E221" s="31"/>
      <c r="F221" s="31"/>
      <c r="G221" s="164" t="s">
        <v>260</v>
      </c>
      <c r="H221" s="29"/>
    </row>
    <row r="222" spans="1:9" x14ac:dyDescent="0.3">
      <c r="A222" s="9"/>
      <c r="B222" s="8"/>
      <c r="C222" s="32"/>
      <c r="D222" s="31"/>
      <c r="E222" s="31"/>
      <c r="F222" s="31"/>
      <c r="G222" s="55" t="s">
        <v>458</v>
      </c>
      <c r="H222" s="43">
        <f>40*220*2</f>
        <v>17600</v>
      </c>
      <c r="I222" s="2" t="s">
        <v>222</v>
      </c>
    </row>
    <row r="223" spans="1:9" x14ac:dyDescent="0.3">
      <c r="A223" s="9"/>
      <c r="B223" s="8"/>
      <c r="C223" s="32"/>
      <c r="D223" s="31"/>
      <c r="E223" s="31"/>
      <c r="F223" s="31"/>
      <c r="G223" s="55" t="s">
        <v>265</v>
      </c>
      <c r="H223" s="43">
        <f>50*30</f>
        <v>1500</v>
      </c>
      <c r="I223" s="2" t="s">
        <v>222</v>
      </c>
    </row>
    <row r="224" spans="1:9" x14ac:dyDescent="0.3">
      <c r="A224" s="9"/>
      <c r="B224" s="8"/>
      <c r="C224" s="32"/>
      <c r="D224" s="31"/>
      <c r="E224" s="31"/>
      <c r="F224" s="31"/>
      <c r="G224" s="55" t="s">
        <v>464</v>
      </c>
      <c r="H224" s="43">
        <f>500*11*2</f>
        <v>11000</v>
      </c>
    </row>
    <row r="225" spans="1:9" ht="24" x14ac:dyDescent="0.3">
      <c r="A225" s="9"/>
      <c r="B225" s="8"/>
      <c r="C225" s="32"/>
      <c r="D225" s="31"/>
      <c r="E225" s="31"/>
      <c r="F225" s="31"/>
      <c r="G225" s="55" t="s">
        <v>433</v>
      </c>
      <c r="H225" s="43">
        <f>30*140*2</f>
        <v>8400</v>
      </c>
      <c r="I225" s="2" t="s">
        <v>222</v>
      </c>
    </row>
    <row r="226" spans="1:9" x14ac:dyDescent="0.3">
      <c r="A226" s="9"/>
      <c r="B226" s="8"/>
      <c r="C226" s="32"/>
      <c r="D226" s="31"/>
      <c r="E226" s="31"/>
      <c r="F226" s="31"/>
      <c r="G226" s="55" t="s">
        <v>434</v>
      </c>
      <c r="H226" s="43">
        <f>50*22*2</f>
        <v>2200</v>
      </c>
      <c r="I226" s="2" t="s">
        <v>222</v>
      </c>
    </row>
    <row r="227" spans="1:9" ht="24" x14ac:dyDescent="0.3">
      <c r="A227" s="9"/>
      <c r="B227" s="8"/>
      <c r="C227" s="32"/>
      <c r="D227" s="31"/>
      <c r="E227" s="31"/>
      <c r="F227" s="31"/>
      <c r="G227" s="55" t="s">
        <v>435</v>
      </c>
      <c r="H227" s="43">
        <f>60*220*2</f>
        <v>26400</v>
      </c>
      <c r="I227" s="2" t="s">
        <v>222</v>
      </c>
    </row>
    <row r="228" spans="1:9" x14ac:dyDescent="0.3">
      <c r="A228" s="9"/>
      <c r="B228" s="8"/>
      <c r="C228" s="32"/>
      <c r="D228" s="31"/>
      <c r="E228" s="31"/>
      <c r="F228" s="31"/>
      <c r="G228" s="55" t="s">
        <v>442</v>
      </c>
      <c r="H228" s="43">
        <f>1000*5</f>
        <v>5000</v>
      </c>
      <c r="I228" s="2" t="s">
        <v>222</v>
      </c>
    </row>
    <row r="229" spans="1:9" x14ac:dyDescent="0.3">
      <c r="A229" s="9"/>
      <c r="B229" s="8"/>
      <c r="C229" s="32"/>
      <c r="D229" s="31"/>
      <c r="E229" s="31"/>
      <c r="F229" s="31"/>
      <c r="G229" s="55" t="s">
        <v>443</v>
      </c>
      <c r="H229" s="43">
        <f>500*8</f>
        <v>4000</v>
      </c>
      <c r="I229" s="2" t="s">
        <v>222</v>
      </c>
    </row>
    <row r="230" spans="1:9" ht="24" x14ac:dyDescent="0.3">
      <c r="A230" s="9"/>
      <c r="B230" s="8"/>
      <c r="C230" s="32"/>
      <c r="D230" s="31"/>
      <c r="E230" s="31"/>
      <c r="F230" s="31"/>
      <c r="G230" s="55" t="s">
        <v>454</v>
      </c>
      <c r="H230" s="43">
        <f>12*220*2+400*2*7</f>
        <v>10880</v>
      </c>
      <c r="I230" s="2" t="s">
        <v>222</v>
      </c>
    </row>
    <row r="231" spans="1:9" ht="18.75" customHeight="1" x14ac:dyDescent="0.3">
      <c r="A231" s="9"/>
      <c r="B231" s="8"/>
      <c r="C231" s="32"/>
      <c r="D231" s="31"/>
      <c r="E231" s="31"/>
      <c r="F231" s="31"/>
      <c r="G231" s="55" t="s">
        <v>455</v>
      </c>
      <c r="H231" s="43">
        <v>12000</v>
      </c>
    </row>
    <row r="232" spans="1:9" s="146" customFormat="1" x14ac:dyDescent="0.3">
      <c r="A232" s="154"/>
      <c r="B232" s="155"/>
      <c r="C232" s="156"/>
      <c r="D232" s="157"/>
      <c r="E232" s="157"/>
      <c r="F232" s="157"/>
      <c r="G232" s="55" t="s">
        <v>449</v>
      </c>
      <c r="H232" s="43">
        <f>10*80*2</f>
        <v>1600</v>
      </c>
      <c r="I232" s="2" t="s">
        <v>222</v>
      </c>
    </row>
    <row r="233" spans="1:9" ht="21" customHeight="1" x14ac:dyDescent="0.3">
      <c r="A233" s="9"/>
      <c r="B233" s="8"/>
      <c r="C233" s="32"/>
      <c r="D233" s="31"/>
      <c r="E233" s="31"/>
      <c r="F233" s="31"/>
      <c r="G233" s="55" t="s">
        <v>451</v>
      </c>
      <c r="H233" s="43">
        <v>5250</v>
      </c>
    </row>
    <row r="234" spans="1:9" x14ac:dyDescent="0.3">
      <c r="A234" s="9"/>
      <c r="B234" s="8"/>
      <c r="C234" s="32"/>
      <c r="D234" s="31"/>
      <c r="E234" s="31"/>
      <c r="F234" s="31"/>
      <c r="G234" s="55" t="s">
        <v>452</v>
      </c>
      <c r="H234" s="43">
        <f>70*220</f>
        <v>15400</v>
      </c>
      <c r="I234" s="2" t="s">
        <v>222</v>
      </c>
    </row>
    <row r="235" spans="1:9" x14ac:dyDescent="0.3">
      <c r="A235" s="9"/>
      <c r="B235" s="8"/>
      <c r="C235" s="32"/>
      <c r="D235" s="31"/>
      <c r="E235" s="31"/>
      <c r="F235" s="31"/>
      <c r="G235" s="164" t="s">
        <v>243</v>
      </c>
      <c r="H235" s="29"/>
    </row>
    <row r="236" spans="1:9" x14ac:dyDescent="0.3">
      <c r="A236" s="9"/>
      <c r="B236" s="8"/>
      <c r="C236" s="32"/>
      <c r="D236" s="31"/>
      <c r="E236" s="31"/>
      <c r="F236" s="31"/>
      <c r="G236" s="30" t="s">
        <v>266</v>
      </c>
      <c r="H236" s="29">
        <f>50*160*2</f>
        <v>16000</v>
      </c>
      <c r="I236" s="2" t="s">
        <v>244</v>
      </c>
    </row>
    <row r="237" spans="1:9" x14ac:dyDescent="0.3">
      <c r="A237" s="9"/>
      <c r="B237" s="8"/>
      <c r="C237" s="32"/>
      <c r="D237" s="31"/>
      <c r="E237" s="31"/>
      <c r="F237" s="31"/>
      <c r="G237" s="30" t="s">
        <v>267</v>
      </c>
      <c r="H237" s="29">
        <f>50*160*2</f>
        <v>16000</v>
      </c>
      <c r="I237" s="2" t="s">
        <v>244</v>
      </c>
    </row>
    <row r="238" spans="1:9" x14ac:dyDescent="0.3">
      <c r="A238" s="9"/>
      <c r="B238" s="8"/>
      <c r="C238" s="32"/>
      <c r="D238" s="31"/>
      <c r="E238" s="31"/>
      <c r="F238" s="31"/>
      <c r="G238" s="30" t="s">
        <v>268</v>
      </c>
      <c r="H238" s="29">
        <f>50*160*2</f>
        <v>16000</v>
      </c>
      <c r="I238" s="2" t="s">
        <v>244</v>
      </c>
    </row>
    <row r="239" spans="1:9" x14ac:dyDescent="0.3">
      <c r="A239" s="9"/>
      <c r="B239" s="8"/>
      <c r="C239" s="32"/>
      <c r="D239" s="31"/>
      <c r="E239" s="31"/>
      <c r="F239" s="31"/>
      <c r="G239" s="30" t="s">
        <v>269</v>
      </c>
      <c r="H239" s="29">
        <f>50*23</f>
        <v>1150</v>
      </c>
      <c r="I239" s="2" t="s">
        <v>244</v>
      </c>
    </row>
    <row r="240" spans="1:9" x14ac:dyDescent="0.3">
      <c r="A240" s="9"/>
      <c r="B240" s="8"/>
      <c r="C240" s="32"/>
      <c r="D240" s="31"/>
      <c r="E240" s="31"/>
      <c r="F240" s="31"/>
      <c r="G240" s="30" t="s">
        <v>270</v>
      </c>
      <c r="H240" s="29">
        <v>1000</v>
      </c>
      <c r="I240" s="2" t="s">
        <v>244</v>
      </c>
    </row>
    <row r="241" spans="1:9" x14ac:dyDescent="0.3">
      <c r="A241" s="9"/>
      <c r="B241" s="8"/>
      <c r="C241" s="32"/>
      <c r="D241" s="31"/>
      <c r="E241" s="31"/>
      <c r="F241" s="31"/>
      <c r="G241" s="30" t="s">
        <v>271</v>
      </c>
      <c r="H241" s="29">
        <v>1000</v>
      </c>
      <c r="I241" s="2" t="s">
        <v>244</v>
      </c>
    </row>
    <row r="242" spans="1:9" x14ac:dyDescent="0.3">
      <c r="A242" s="9"/>
      <c r="B242" s="8"/>
      <c r="C242" s="32"/>
      <c r="D242" s="31"/>
      <c r="E242" s="31"/>
      <c r="F242" s="31"/>
      <c r="G242" s="30" t="s">
        <v>272</v>
      </c>
      <c r="H242" s="29">
        <f>50*25*1</f>
        <v>1250</v>
      </c>
      <c r="I242" s="2" t="s">
        <v>244</v>
      </c>
    </row>
    <row r="243" spans="1:9" x14ac:dyDescent="0.3">
      <c r="A243" s="9"/>
      <c r="B243" s="8"/>
      <c r="C243" s="32"/>
      <c r="D243" s="31"/>
      <c r="E243" s="31"/>
      <c r="F243" s="31"/>
      <c r="G243" s="30" t="s">
        <v>273</v>
      </c>
      <c r="H243" s="29">
        <f>500*5</f>
        <v>2500</v>
      </c>
      <c r="I243" s="2" t="s">
        <v>244</v>
      </c>
    </row>
    <row r="244" spans="1:9" x14ac:dyDescent="0.3">
      <c r="A244" s="9"/>
      <c r="B244" s="8"/>
      <c r="C244" s="32"/>
      <c r="D244" s="31"/>
      <c r="E244" s="31"/>
      <c r="F244" s="31"/>
      <c r="G244" s="30" t="s">
        <v>274</v>
      </c>
      <c r="H244" s="29">
        <f>20*160*2</f>
        <v>6400</v>
      </c>
      <c r="I244" s="2" t="s">
        <v>244</v>
      </c>
    </row>
    <row r="245" spans="1:9" x14ac:dyDescent="0.3">
      <c r="A245" s="9"/>
      <c r="B245" s="8"/>
      <c r="C245" s="32"/>
      <c r="D245" s="31"/>
      <c r="E245" s="31"/>
      <c r="F245" s="31"/>
      <c r="G245" s="30" t="s">
        <v>275</v>
      </c>
      <c r="H245" s="29">
        <f>6000*2</f>
        <v>12000</v>
      </c>
      <c r="I245" s="2" t="s">
        <v>244</v>
      </c>
    </row>
    <row r="246" spans="1:9" x14ac:dyDescent="0.3">
      <c r="A246" s="9"/>
      <c r="B246" s="8"/>
      <c r="C246" s="32"/>
      <c r="D246" s="31"/>
      <c r="E246" s="31"/>
      <c r="F246" s="31"/>
      <c r="G246" s="164" t="s">
        <v>276</v>
      </c>
      <c r="H246" s="29"/>
    </row>
    <row r="247" spans="1:9" x14ac:dyDescent="0.3">
      <c r="A247" s="9"/>
      <c r="B247" s="8"/>
      <c r="C247" s="32"/>
      <c r="D247" s="31"/>
      <c r="E247" s="31"/>
      <c r="F247" s="31"/>
      <c r="G247" s="30" t="s">
        <v>460</v>
      </c>
      <c r="H247" s="29">
        <v>26000</v>
      </c>
      <c r="I247" s="2" t="s">
        <v>277</v>
      </c>
    </row>
    <row r="248" spans="1:9" x14ac:dyDescent="0.3">
      <c r="A248" s="9"/>
      <c r="B248" s="8"/>
      <c r="C248" s="32"/>
      <c r="D248" s="31"/>
      <c r="E248" s="31"/>
      <c r="F248" s="31"/>
      <c r="G248" s="49" t="s">
        <v>278</v>
      </c>
      <c r="H248" s="44">
        <v>60000</v>
      </c>
      <c r="I248" s="2" t="s">
        <v>279</v>
      </c>
    </row>
    <row r="249" spans="1:9" x14ac:dyDescent="0.3">
      <c r="A249" s="9"/>
      <c r="B249" s="8"/>
      <c r="C249" s="32"/>
      <c r="D249" s="31"/>
      <c r="E249" s="31"/>
      <c r="F249" s="31"/>
      <c r="G249" s="165" t="s">
        <v>255</v>
      </c>
      <c r="H249" s="166">
        <f>SUM(H217:H248)</f>
        <v>295530</v>
      </c>
    </row>
    <row r="250" spans="1:9" x14ac:dyDescent="0.3">
      <c r="A250" s="9"/>
      <c r="B250" s="8"/>
      <c r="C250" s="32"/>
      <c r="D250" s="31"/>
      <c r="E250" s="31"/>
      <c r="F250" s="31"/>
      <c r="G250" s="35" t="s">
        <v>280</v>
      </c>
      <c r="H250" s="34"/>
    </row>
    <row r="251" spans="1:9" x14ac:dyDescent="0.3">
      <c r="A251" s="9"/>
      <c r="B251" s="8"/>
      <c r="C251" s="32"/>
      <c r="D251" s="31"/>
      <c r="E251" s="31"/>
      <c r="F251" s="31"/>
      <c r="G251" s="164" t="s">
        <v>257</v>
      </c>
      <c r="H251" s="29"/>
    </row>
    <row r="252" spans="1:9" x14ac:dyDescent="0.3">
      <c r="A252" s="9"/>
      <c r="B252" s="8"/>
      <c r="C252" s="32"/>
      <c r="D252" s="31"/>
      <c r="E252" s="31"/>
      <c r="F252" s="31"/>
      <c r="G252" s="30" t="s">
        <v>422</v>
      </c>
      <c r="H252" s="29">
        <f>500*3*2</f>
        <v>3000</v>
      </c>
      <c r="I252" s="2" t="s">
        <v>259</v>
      </c>
    </row>
    <row r="253" spans="1:9" x14ac:dyDescent="0.3">
      <c r="A253" s="9"/>
      <c r="B253" s="8"/>
      <c r="C253" s="32"/>
      <c r="D253" s="31"/>
      <c r="E253" s="31"/>
      <c r="F253" s="31"/>
      <c r="G253" s="164" t="s">
        <v>260</v>
      </c>
      <c r="H253" s="29"/>
    </row>
    <row r="254" spans="1:9" x14ac:dyDescent="0.3">
      <c r="A254" s="9"/>
      <c r="B254" s="8"/>
      <c r="C254" s="32"/>
      <c r="D254" s="31"/>
      <c r="E254" s="31"/>
      <c r="F254" s="31"/>
      <c r="G254" s="55" t="s">
        <v>463</v>
      </c>
      <c r="H254" s="43">
        <f>500*11*2</f>
        <v>11000</v>
      </c>
      <c r="I254" s="2" t="s">
        <v>222</v>
      </c>
    </row>
    <row r="255" spans="1:9" x14ac:dyDescent="0.3">
      <c r="A255" s="9"/>
      <c r="B255" s="8"/>
      <c r="C255" s="32"/>
      <c r="D255" s="31"/>
      <c r="E255" s="31"/>
      <c r="F255" s="31"/>
      <c r="G255" s="55" t="s">
        <v>432</v>
      </c>
      <c r="H255" s="43">
        <f>400*5*2</f>
        <v>4000</v>
      </c>
      <c r="I255" s="2" t="s">
        <v>222</v>
      </c>
    </row>
    <row r="256" spans="1:9" x14ac:dyDescent="0.3">
      <c r="A256" s="9"/>
      <c r="B256" s="8"/>
      <c r="C256" s="32"/>
      <c r="D256" s="31"/>
      <c r="E256" s="31"/>
      <c r="F256" s="31"/>
      <c r="G256" s="179" t="s">
        <v>243</v>
      </c>
      <c r="H256" s="43"/>
    </row>
    <row r="257" spans="1:9" x14ac:dyDescent="0.3">
      <c r="A257" s="9"/>
      <c r="B257" s="8"/>
      <c r="C257" s="32"/>
      <c r="D257" s="31"/>
      <c r="E257" s="31"/>
      <c r="F257" s="31"/>
      <c r="G257" s="30" t="s">
        <v>473</v>
      </c>
      <c r="H257" s="29">
        <f>500*3*2</f>
        <v>3000</v>
      </c>
      <c r="I257" s="2" t="s">
        <v>244</v>
      </c>
    </row>
    <row r="258" spans="1:9" x14ac:dyDescent="0.3">
      <c r="A258" s="9"/>
      <c r="B258" s="8"/>
      <c r="C258" s="32"/>
      <c r="D258" s="31"/>
      <c r="E258" s="31"/>
      <c r="F258" s="31"/>
      <c r="G258" s="30" t="s">
        <v>474</v>
      </c>
      <c r="H258" s="29">
        <f>500*6*2</f>
        <v>6000</v>
      </c>
      <c r="I258" s="2" t="s">
        <v>244</v>
      </c>
    </row>
    <row r="259" spans="1:9" x14ac:dyDescent="0.3">
      <c r="A259" s="9"/>
      <c r="B259" s="8"/>
      <c r="C259" s="32"/>
      <c r="D259" s="31"/>
      <c r="E259" s="31"/>
      <c r="F259" s="53"/>
      <c r="G259" s="160" t="s">
        <v>281</v>
      </c>
      <c r="H259" s="162">
        <v>1000</v>
      </c>
      <c r="I259" s="2" t="s">
        <v>244</v>
      </c>
    </row>
    <row r="260" spans="1:9" x14ac:dyDescent="0.3">
      <c r="A260" s="9"/>
      <c r="B260" s="8"/>
      <c r="C260" s="32"/>
      <c r="D260" s="31"/>
      <c r="E260" s="31"/>
      <c r="F260" s="31"/>
      <c r="G260" s="167" t="s">
        <v>255</v>
      </c>
      <c r="H260" s="168">
        <f>SUM(H252:H259)</f>
        <v>28000</v>
      </c>
    </row>
    <row r="261" spans="1:9" x14ac:dyDescent="0.3">
      <c r="A261" s="9"/>
      <c r="B261" s="8"/>
      <c r="C261" s="32"/>
      <c r="D261" s="31"/>
      <c r="E261" s="31"/>
      <c r="F261" s="31"/>
      <c r="G261" s="35" t="s">
        <v>282</v>
      </c>
      <c r="H261" s="34"/>
    </row>
    <row r="262" spans="1:9" x14ac:dyDescent="0.3">
      <c r="A262" s="9"/>
      <c r="B262" s="8"/>
      <c r="C262" s="32"/>
      <c r="D262" s="31"/>
      <c r="E262" s="31"/>
      <c r="F262" s="31"/>
      <c r="G262" s="164" t="s">
        <v>260</v>
      </c>
      <c r="H262" s="29"/>
    </row>
    <row r="263" spans="1:9" x14ac:dyDescent="0.3">
      <c r="A263" s="9"/>
      <c r="B263" s="8"/>
      <c r="C263" s="32"/>
      <c r="D263" s="31"/>
      <c r="E263" s="31"/>
      <c r="F263" s="31"/>
      <c r="G263" s="55" t="s">
        <v>283</v>
      </c>
      <c r="H263" s="43">
        <f>500*2</f>
        <v>1000</v>
      </c>
      <c r="I263" s="2" t="s">
        <v>222</v>
      </c>
    </row>
    <row r="264" spans="1:9" x14ac:dyDescent="0.3">
      <c r="A264" s="9"/>
      <c r="B264" s="8"/>
      <c r="C264" s="32"/>
      <c r="D264" s="31"/>
      <c r="E264" s="31"/>
      <c r="F264" s="31"/>
      <c r="G264" s="55" t="s">
        <v>287</v>
      </c>
      <c r="H264" s="43">
        <f>10*100</f>
        <v>1000</v>
      </c>
      <c r="I264" s="2" t="s">
        <v>222</v>
      </c>
    </row>
    <row r="265" spans="1:9" x14ac:dyDescent="0.3">
      <c r="A265" s="9"/>
      <c r="B265" s="8"/>
      <c r="C265" s="32"/>
      <c r="D265" s="31"/>
      <c r="E265" s="31"/>
      <c r="F265" s="31"/>
      <c r="G265" s="55" t="s">
        <v>446</v>
      </c>
      <c r="H265" s="43">
        <f>150*55</f>
        <v>8250</v>
      </c>
      <c r="I265" s="2" t="s">
        <v>222</v>
      </c>
    </row>
    <row r="266" spans="1:9" x14ac:dyDescent="0.3">
      <c r="A266" s="9"/>
      <c r="B266" s="8"/>
      <c r="C266" s="32"/>
      <c r="D266" s="31"/>
      <c r="E266" s="31"/>
      <c r="F266" s="31"/>
      <c r="G266" s="55" t="s">
        <v>447</v>
      </c>
      <c r="H266" s="43">
        <f>150*55</f>
        <v>8250</v>
      </c>
      <c r="I266" s="2" t="s">
        <v>222</v>
      </c>
    </row>
    <row r="267" spans="1:9" x14ac:dyDescent="0.3">
      <c r="A267" s="9"/>
      <c r="B267" s="8"/>
      <c r="C267" s="32"/>
      <c r="D267" s="31"/>
      <c r="E267" s="31"/>
      <c r="F267" s="31"/>
      <c r="G267" s="55" t="s">
        <v>285</v>
      </c>
      <c r="H267" s="43">
        <f>150*30</f>
        <v>4500</v>
      </c>
      <c r="I267" s="2" t="s">
        <v>222</v>
      </c>
    </row>
    <row r="268" spans="1:9" ht="24" x14ac:dyDescent="0.3">
      <c r="A268" s="9"/>
      <c r="B268" s="8"/>
      <c r="C268" s="32"/>
      <c r="D268" s="31"/>
      <c r="E268" s="31"/>
      <c r="F268" s="31"/>
      <c r="G268" s="55" t="s">
        <v>456</v>
      </c>
      <c r="H268" s="43">
        <f>60*80+50*120+11*60</f>
        <v>11460</v>
      </c>
      <c r="I268" s="2" t="s">
        <v>222</v>
      </c>
    </row>
    <row r="269" spans="1:9" x14ac:dyDescent="0.3">
      <c r="A269" s="9"/>
      <c r="B269" s="8"/>
      <c r="C269" s="32"/>
      <c r="D269" s="31"/>
      <c r="E269" s="31"/>
      <c r="F269" s="31"/>
      <c r="G269" s="55" t="s">
        <v>448</v>
      </c>
      <c r="H269" s="43">
        <f>80*11*1</f>
        <v>880</v>
      </c>
      <c r="I269" s="2" t="s">
        <v>222</v>
      </c>
    </row>
    <row r="270" spans="1:9" x14ac:dyDescent="0.3">
      <c r="A270" s="9"/>
      <c r="B270" s="8"/>
      <c r="C270" s="32"/>
      <c r="D270" s="31"/>
      <c r="E270" s="31"/>
      <c r="F270" s="31"/>
      <c r="G270" s="164" t="s">
        <v>243</v>
      </c>
      <c r="H270" s="29"/>
    </row>
    <row r="271" spans="1:9" ht="24" x14ac:dyDescent="0.3">
      <c r="A271" s="9"/>
      <c r="B271" s="8"/>
      <c r="C271" s="32"/>
      <c r="D271" s="31"/>
      <c r="E271" s="31"/>
      <c r="F271" s="31"/>
      <c r="G271" s="55" t="s">
        <v>477</v>
      </c>
      <c r="H271" s="43">
        <f>60*160</f>
        <v>9600</v>
      </c>
      <c r="I271" s="2" t="s">
        <v>244</v>
      </c>
    </row>
    <row r="272" spans="1:9" x14ac:dyDescent="0.3">
      <c r="A272" s="9"/>
      <c r="B272" s="8"/>
      <c r="C272" s="32"/>
      <c r="D272" s="31"/>
      <c r="E272" s="31"/>
      <c r="F272" s="31"/>
      <c r="G272" s="30" t="s">
        <v>286</v>
      </c>
      <c r="H272" s="29">
        <f>1000*2</f>
        <v>2000</v>
      </c>
      <c r="I272" s="2" t="s">
        <v>244</v>
      </c>
    </row>
    <row r="273" spans="1:9" x14ac:dyDescent="0.3">
      <c r="A273" s="9"/>
      <c r="B273" s="8"/>
      <c r="C273" s="32"/>
      <c r="D273" s="31"/>
      <c r="E273" s="31"/>
      <c r="F273" s="31"/>
      <c r="G273" s="30" t="s">
        <v>472</v>
      </c>
      <c r="H273" s="29">
        <f>150*9*1</f>
        <v>1350</v>
      </c>
      <c r="I273" s="2" t="s">
        <v>244</v>
      </c>
    </row>
    <row r="274" spans="1:9" x14ac:dyDescent="0.3">
      <c r="A274" s="9"/>
      <c r="B274" s="8"/>
      <c r="C274" s="32"/>
      <c r="D274" s="31"/>
      <c r="E274" s="31"/>
      <c r="F274" s="31"/>
      <c r="G274" s="30" t="s">
        <v>467</v>
      </c>
      <c r="H274" s="29">
        <f>5*100</f>
        <v>500</v>
      </c>
      <c r="I274" s="2" t="s">
        <v>244</v>
      </c>
    </row>
    <row r="275" spans="1:9" x14ac:dyDescent="0.3">
      <c r="A275" s="9"/>
      <c r="B275" s="8"/>
      <c r="C275" s="32"/>
      <c r="D275" s="31"/>
      <c r="E275" s="31"/>
      <c r="F275" s="31"/>
      <c r="G275" s="30" t="s">
        <v>284</v>
      </c>
      <c r="H275" s="29">
        <f>150*60</f>
        <v>9000</v>
      </c>
      <c r="I275" s="2" t="s">
        <v>244</v>
      </c>
    </row>
    <row r="276" spans="1:9" s="146" customFormat="1" x14ac:dyDescent="0.3">
      <c r="A276" s="154"/>
      <c r="B276" s="155"/>
      <c r="C276" s="156"/>
      <c r="D276" s="157"/>
      <c r="E276" s="157"/>
      <c r="F276" s="157"/>
      <c r="G276" s="30" t="s">
        <v>481</v>
      </c>
      <c r="H276" s="29">
        <f>150*30</f>
        <v>4500</v>
      </c>
      <c r="I276" s="2" t="s">
        <v>244</v>
      </c>
    </row>
    <row r="277" spans="1:9" s="146" customFormat="1" x14ac:dyDescent="0.3">
      <c r="A277" s="154"/>
      <c r="B277" s="155"/>
      <c r="C277" s="156"/>
      <c r="D277" s="157"/>
      <c r="E277" s="157"/>
      <c r="F277" s="157"/>
      <c r="G277" s="164" t="s">
        <v>508</v>
      </c>
      <c r="H277" s="29"/>
      <c r="I277" s="2"/>
    </row>
    <row r="278" spans="1:9" x14ac:dyDescent="0.3">
      <c r="A278" s="9"/>
      <c r="B278" s="8"/>
      <c r="C278" s="32"/>
      <c r="D278" s="31"/>
      <c r="E278" s="31"/>
      <c r="F278" s="31"/>
      <c r="G278" s="30" t="s">
        <v>157</v>
      </c>
      <c r="H278" s="29">
        <v>400</v>
      </c>
      <c r="I278" s="2" t="s">
        <v>158</v>
      </c>
    </row>
    <row r="279" spans="1:9" x14ac:dyDescent="0.3">
      <c r="A279" s="9"/>
      <c r="B279" s="8"/>
      <c r="C279" s="32"/>
      <c r="D279" s="31"/>
      <c r="E279" s="31"/>
      <c r="F279" s="53"/>
      <c r="G279" s="176" t="s">
        <v>357</v>
      </c>
      <c r="H279" s="219">
        <f>20*10*2</f>
        <v>400</v>
      </c>
      <c r="I279" s="2" t="s">
        <v>242</v>
      </c>
    </row>
    <row r="280" spans="1:9" x14ac:dyDescent="0.3">
      <c r="A280" s="9"/>
      <c r="B280" s="8"/>
      <c r="C280" s="32"/>
      <c r="D280" s="31"/>
      <c r="E280" s="31"/>
      <c r="F280" s="31"/>
      <c r="G280" s="30" t="s">
        <v>241</v>
      </c>
      <c r="H280" s="29">
        <v>800</v>
      </c>
      <c r="I280" s="2" t="s">
        <v>242</v>
      </c>
    </row>
    <row r="281" spans="1:9" x14ac:dyDescent="0.3">
      <c r="A281" s="9"/>
      <c r="B281" s="8"/>
      <c r="C281" s="19"/>
      <c r="D281" s="48"/>
      <c r="E281" s="48"/>
      <c r="F281" s="48"/>
      <c r="G281" s="165" t="s">
        <v>255</v>
      </c>
      <c r="H281" s="166">
        <f>SUM(H263:H280)</f>
        <v>63890</v>
      </c>
    </row>
    <row r="282" spans="1:9" x14ac:dyDescent="0.3">
      <c r="A282" s="9"/>
      <c r="B282" s="12" t="s">
        <v>288</v>
      </c>
      <c r="C282" s="11"/>
      <c r="D282" s="10">
        <f>SUM(D283:D283)</f>
        <v>231650</v>
      </c>
      <c r="E282" s="10">
        <f>E283</f>
        <v>229594</v>
      </c>
      <c r="F282" s="10">
        <f>D282-E282</f>
        <v>2056</v>
      </c>
      <c r="G282" s="169"/>
      <c r="H282" s="170"/>
    </row>
    <row r="283" spans="1:9" x14ac:dyDescent="0.3">
      <c r="A283" s="9"/>
      <c r="B283" s="8"/>
      <c r="C283" s="32" t="s">
        <v>289</v>
      </c>
      <c r="D283" s="31">
        <f>H292+H296+H301+H310</f>
        <v>231650</v>
      </c>
      <c r="E283" s="31">
        <v>229594</v>
      </c>
      <c r="F283" s="31">
        <f>D283-E283</f>
        <v>2056</v>
      </c>
      <c r="G283" s="35" t="s">
        <v>290</v>
      </c>
      <c r="H283" s="34"/>
    </row>
    <row r="284" spans="1:9" x14ac:dyDescent="0.3">
      <c r="A284" s="9"/>
      <c r="B284" s="8"/>
      <c r="C284" s="32"/>
      <c r="D284" s="31"/>
      <c r="E284" s="31"/>
      <c r="F284" s="31"/>
      <c r="G284" s="164" t="s">
        <v>260</v>
      </c>
      <c r="H284" s="29"/>
    </row>
    <row r="285" spans="1:9" x14ac:dyDescent="0.3">
      <c r="A285" s="9"/>
      <c r="B285" s="8"/>
      <c r="C285" s="32"/>
      <c r="D285" s="31"/>
      <c r="E285" s="31"/>
      <c r="F285" s="31"/>
      <c r="G285" s="55" t="s">
        <v>291</v>
      </c>
      <c r="H285" s="43">
        <f>20*15*2</f>
        <v>600</v>
      </c>
      <c r="I285" s="2" t="s">
        <v>222</v>
      </c>
    </row>
    <row r="286" spans="1:9" x14ac:dyDescent="0.3">
      <c r="A286" s="9"/>
      <c r="B286" s="8"/>
      <c r="C286" s="32"/>
      <c r="D286" s="31"/>
      <c r="E286" s="31"/>
      <c r="F286" s="31"/>
      <c r="G286" s="55" t="s">
        <v>438</v>
      </c>
      <c r="H286" s="43">
        <f>5*20*20</f>
        <v>2000</v>
      </c>
      <c r="I286" s="2" t="s">
        <v>222</v>
      </c>
    </row>
    <row r="287" spans="1:9" x14ac:dyDescent="0.3">
      <c r="A287" s="9"/>
      <c r="B287" s="8"/>
      <c r="C287" s="32"/>
      <c r="D287" s="31"/>
      <c r="E287" s="31"/>
      <c r="F287" s="31"/>
      <c r="G287" s="55" t="s">
        <v>439</v>
      </c>
      <c r="H287" s="43">
        <f>5*50*20</f>
        <v>5000</v>
      </c>
      <c r="I287" s="2" t="s">
        <v>222</v>
      </c>
    </row>
    <row r="288" spans="1:9" x14ac:dyDescent="0.3">
      <c r="A288" s="9"/>
      <c r="B288" s="8"/>
      <c r="C288" s="32"/>
      <c r="D288" s="31"/>
      <c r="E288" s="31"/>
      <c r="F288" s="31"/>
      <c r="G288" s="179" t="s">
        <v>243</v>
      </c>
      <c r="H288" s="43"/>
    </row>
    <row r="289" spans="1:9" x14ac:dyDescent="0.3">
      <c r="A289" s="9"/>
      <c r="B289" s="8"/>
      <c r="C289" s="32"/>
      <c r="D289" s="31"/>
      <c r="E289" s="31"/>
      <c r="F289" s="31"/>
      <c r="G289" s="55" t="s">
        <v>292</v>
      </c>
      <c r="H289" s="43">
        <f>100*10*2</f>
        <v>2000</v>
      </c>
      <c r="I289" s="2" t="s">
        <v>244</v>
      </c>
    </row>
    <row r="290" spans="1:9" x14ac:dyDescent="0.3">
      <c r="A290" s="9"/>
      <c r="B290" s="8"/>
      <c r="C290" s="32"/>
      <c r="D290" s="31"/>
      <c r="E290" s="31"/>
      <c r="F290" s="53"/>
      <c r="G290" s="221" t="s">
        <v>293</v>
      </c>
      <c r="H290" s="222">
        <f>100*12*2</f>
        <v>2400</v>
      </c>
      <c r="I290" s="178" t="s">
        <v>244</v>
      </c>
    </row>
    <row r="291" spans="1:9" x14ac:dyDescent="0.3">
      <c r="A291" s="9"/>
      <c r="B291" s="8"/>
      <c r="C291" s="32"/>
      <c r="D291" s="31"/>
      <c r="E291" s="31"/>
      <c r="F291" s="31"/>
      <c r="G291" s="30" t="s">
        <v>498</v>
      </c>
      <c r="H291" s="29">
        <f>1700</f>
        <v>1700</v>
      </c>
      <c r="I291" s="2" t="s">
        <v>13</v>
      </c>
    </row>
    <row r="292" spans="1:9" x14ac:dyDescent="0.3">
      <c r="A292" s="9"/>
      <c r="B292" s="8"/>
      <c r="C292" s="32"/>
      <c r="D292" s="31"/>
      <c r="E292" s="31"/>
      <c r="F292" s="31"/>
      <c r="G292" s="167" t="s">
        <v>255</v>
      </c>
      <c r="H292" s="168">
        <f>SUM(H285:H291)</f>
        <v>13700</v>
      </c>
    </row>
    <row r="293" spans="1:9" x14ac:dyDescent="0.3">
      <c r="A293" s="9"/>
      <c r="B293" s="8"/>
      <c r="C293" s="32"/>
      <c r="D293" s="31"/>
      <c r="E293" s="31"/>
      <c r="F293" s="31"/>
      <c r="G293" s="180" t="s">
        <v>294</v>
      </c>
      <c r="H293" s="34"/>
    </row>
    <row r="294" spans="1:9" x14ac:dyDescent="0.3">
      <c r="A294" s="9"/>
      <c r="B294" s="8"/>
      <c r="C294" s="32"/>
      <c r="D294" s="31"/>
      <c r="E294" s="31"/>
      <c r="F294" s="31"/>
      <c r="G294" s="164" t="s">
        <v>276</v>
      </c>
      <c r="H294" s="29"/>
    </row>
    <row r="295" spans="1:9" x14ac:dyDescent="0.3">
      <c r="A295" s="9"/>
      <c r="B295" s="8"/>
      <c r="C295" s="32"/>
      <c r="D295" s="31"/>
      <c r="E295" s="31"/>
      <c r="F295" s="31"/>
      <c r="G295" s="181" t="s">
        <v>407</v>
      </c>
      <c r="H295" s="44">
        <v>160000</v>
      </c>
      <c r="I295" s="2" t="s">
        <v>277</v>
      </c>
    </row>
    <row r="296" spans="1:9" x14ac:dyDescent="0.3">
      <c r="A296" s="9"/>
      <c r="B296" s="8"/>
      <c r="C296" s="32"/>
      <c r="D296" s="31"/>
      <c r="E296" s="31"/>
      <c r="F296" s="31"/>
      <c r="G296" s="165" t="s">
        <v>255</v>
      </c>
      <c r="H296" s="166">
        <f>SUM(H293:H295)</f>
        <v>160000</v>
      </c>
    </row>
    <row r="297" spans="1:9" x14ac:dyDescent="0.3">
      <c r="A297" s="9"/>
      <c r="B297" s="8"/>
      <c r="C297" s="32"/>
      <c r="D297" s="31"/>
      <c r="E297" s="31"/>
      <c r="F297" s="31"/>
      <c r="G297" s="180" t="s">
        <v>295</v>
      </c>
      <c r="H297" s="34"/>
    </row>
    <row r="298" spans="1:9" x14ac:dyDescent="0.3">
      <c r="A298" s="9"/>
      <c r="B298" s="8"/>
      <c r="C298" s="32"/>
      <c r="D298" s="31"/>
      <c r="E298" s="31"/>
      <c r="F298" s="31"/>
      <c r="G298" s="164" t="s">
        <v>276</v>
      </c>
      <c r="H298" s="29"/>
    </row>
    <row r="299" spans="1:9" x14ac:dyDescent="0.3">
      <c r="A299" s="9"/>
      <c r="B299" s="8"/>
      <c r="C299" s="32"/>
      <c r="D299" s="31"/>
      <c r="E299" s="31"/>
      <c r="F299" s="31"/>
      <c r="G299" s="30" t="s">
        <v>296</v>
      </c>
      <c r="H299" s="29">
        <f>25*550</f>
        <v>13750</v>
      </c>
      <c r="I299" s="2" t="s">
        <v>277</v>
      </c>
    </row>
    <row r="300" spans="1:9" x14ac:dyDescent="0.3">
      <c r="A300" s="9"/>
      <c r="B300" s="8"/>
      <c r="C300" s="32"/>
      <c r="D300" s="31"/>
      <c r="E300" s="31"/>
      <c r="F300" s="31"/>
      <c r="G300" s="49" t="s">
        <v>297</v>
      </c>
      <c r="H300" s="44">
        <f>6000*2</f>
        <v>12000</v>
      </c>
      <c r="I300" s="2" t="s">
        <v>277</v>
      </c>
    </row>
    <row r="301" spans="1:9" x14ac:dyDescent="0.3">
      <c r="A301" s="9"/>
      <c r="B301" s="8"/>
      <c r="C301" s="32"/>
      <c r="D301" s="31"/>
      <c r="E301" s="31"/>
      <c r="F301" s="31"/>
      <c r="G301" s="165" t="s">
        <v>255</v>
      </c>
      <c r="H301" s="166">
        <f>SUM(H299:H300)</f>
        <v>25750</v>
      </c>
    </row>
    <row r="302" spans="1:9" x14ac:dyDescent="0.3">
      <c r="A302" s="9"/>
      <c r="B302" s="8"/>
      <c r="C302" s="32"/>
      <c r="D302" s="31"/>
      <c r="E302" s="31"/>
      <c r="F302" s="31"/>
      <c r="G302" s="180" t="s">
        <v>298</v>
      </c>
      <c r="H302" s="34"/>
    </row>
    <row r="303" spans="1:9" x14ac:dyDescent="0.3">
      <c r="A303" s="9"/>
      <c r="B303" s="8"/>
      <c r="C303" s="32"/>
      <c r="D303" s="31"/>
      <c r="E303" s="31"/>
      <c r="F303" s="31"/>
      <c r="G303" s="164" t="s">
        <v>260</v>
      </c>
      <c r="H303" s="29"/>
    </row>
    <row r="304" spans="1:9" x14ac:dyDescent="0.3">
      <c r="A304" s="9"/>
      <c r="B304" s="8"/>
      <c r="C304" s="32"/>
      <c r="D304" s="31"/>
      <c r="E304" s="31"/>
      <c r="F304" s="31"/>
      <c r="G304" s="55" t="s">
        <v>299</v>
      </c>
      <c r="H304" s="43">
        <f>50*4</f>
        <v>200</v>
      </c>
      <c r="I304" s="2" t="s">
        <v>222</v>
      </c>
    </row>
    <row r="305" spans="1:9" x14ac:dyDescent="0.3">
      <c r="A305" s="9"/>
      <c r="B305" s="8"/>
      <c r="C305" s="32"/>
      <c r="D305" s="31"/>
      <c r="E305" s="31"/>
      <c r="F305" s="31"/>
      <c r="G305" s="164" t="s">
        <v>243</v>
      </c>
      <c r="H305" s="29"/>
    </row>
    <row r="306" spans="1:9" x14ac:dyDescent="0.3">
      <c r="A306" s="9"/>
      <c r="B306" s="8"/>
      <c r="C306" s="32"/>
      <c r="D306" s="31"/>
      <c r="E306" s="31"/>
      <c r="F306" s="31"/>
      <c r="G306" s="30" t="s">
        <v>480</v>
      </c>
      <c r="H306" s="29">
        <f>1500*4</f>
        <v>6000</v>
      </c>
      <c r="I306" s="2" t="s">
        <v>244</v>
      </c>
    </row>
    <row r="307" spans="1:9" x14ac:dyDescent="0.3">
      <c r="A307" s="9"/>
      <c r="B307" s="8"/>
      <c r="C307" s="32"/>
      <c r="D307" s="31"/>
      <c r="E307" s="31"/>
      <c r="F307" s="31"/>
      <c r="G307" s="164" t="s">
        <v>300</v>
      </c>
      <c r="H307" s="29"/>
    </row>
    <row r="308" spans="1:9" x14ac:dyDescent="0.3">
      <c r="A308" s="9"/>
      <c r="B308" s="8"/>
      <c r="C308" s="32"/>
      <c r="D308" s="31"/>
      <c r="E308" s="31"/>
      <c r="F308" s="53"/>
      <c r="G308" s="160" t="s">
        <v>400</v>
      </c>
      <c r="H308" s="161"/>
      <c r="I308" s="178" t="s">
        <v>301</v>
      </c>
    </row>
    <row r="309" spans="1:9" x14ac:dyDescent="0.3">
      <c r="A309" s="9"/>
      <c r="B309" s="8"/>
      <c r="C309" s="32"/>
      <c r="D309" s="31"/>
      <c r="E309" s="31"/>
      <c r="F309" s="31"/>
      <c r="G309" s="30" t="s">
        <v>406</v>
      </c>
      <c r="H309" s="29">
        <v>26000</v>
      </c>
    </row>
    <row r="310" spans="1:9" x14ac:dyDescent="0.3">
      <c r="A310" s="9"/>
      <c r="B310" s="8"/>
      <c r="C310" s="19"/>
      <c r="D310" s="48"/>
      <c r="E310" s="48"/>
      <c r="F310" s="48"/>
      <c r="G310" s="165" t="s">
        <v>255</v>
      </c>
      <c r="H310" s="166">
        <f>SUM(H302:H309)</f>
        <v>32200</v>
      </c>
    </row>
    <row r="311" spans="1:9" x14ac:dyDescent="0.3">
      <c r="A311" s="9"/>
      <c r="B311" s="12" t="s">
        <v>302</v>
      </c>
      <c r="C311" s="11"/>
      <c r="D311" s="10">
        <f>SUM(D312)</f>
        <v>34500</v>
      </c>
      <c r="E311" s="10">
        <f>SUM(E312)</f>
        <v>21935</v>
      </c>
      <c r="F311" s="10">
        <f>D311-E311</f>
        <v>12565</v>
      </c>
      <c r="G311" s="169"/>
      <c r="H311" s="170"/>
    </row>
    <row r="312" spans="1:9" x14ac:dyDescent="0.3">
      <c r="A312" s="9"/>
      <c r="B312" s="8"/>
      <c r="C312" s="7" t="s">
        <v>302</v>
      </c>
      <c r="D312" s="47">
        <f>H326+H332</f>
        <v>34500</v>
      </c>
      <c r="E312" s="47">
        <v>21935</v>
      </c>
      <c r="F312" s="47">
        <f>D312-E312</f>
        <v>12565</v>
      </c>
      <c r="G312" s="35" t="s">
        <v>303</v>
      </c>
      <c r="H312" s="34"/>
    </row>
    <row r="313" spans="1:9" x14ac:dyDescent="0.3">
      <c r="A313" s="9"/>
      <c r="B313" s="8"/>
      <c r="C313" s="32"/>
      <c r="D313" s="31"/>
      <c r="E313" s="31"/>
      <c r="F313" s="31"/>
      <c r="G313" s="164" t="s">
        <v>257</v>
      </c>
      <c r="H313" s="29"/>
    </row>
    <row r="314" spans="1:9" x14ac:dyDescent="0.3">
      <c r="A314" s="9"/>
      <c r="B314" s="8"/>
      <c r="C314" s="32"/>
      <c r="D314" s="31"/>
      <c r="E314" s="31"/>
      <c r="F314" s="31"/>
      <c r="G314" s="30" t="s">
        <v>417</v>
      </c>
      <c r="H314" s="29">
        <f>35*13*2</f>
        <v>910</v>
      </c>
      <c r="I314" s="2" t="s">
        <v>259</v>
      </c>
    </row>
    <row r="315" spans="1:9" x14ac:dyDescent="0.3">
      <c r="A315" s="9"/>
      <c r="B315" s="8"/>
      <c r="C315" s="32"/>
      <c r="D315" s="31"/>
      <c r="E315" s="31"/>
      <c r="F315" s="31"/>
      <c r="G315" s="164" t="s">
        <v>260</v>
      </c>
      <c r="H315" s="29"/>
    </row>
    <row r="316" spans="1:9" ht="15.75" customHeight="1" x14ac:dyDescent="0.3">
      <c r="A316" s="9"/>
      <c r="B316" s="8"/>
      <c r="C316" s="32"/>
      <c r="D316" s="31"/>
      <c r="E316" s="31"/>
      <c r="F316" s="31"/>
      <c r="G316" s="55" t="s">
        <v>470</v>
      </c>
      <c r="H316" s="43">
        <f>35*33*2</f>
        <v>2310</v>
      </c>
      <c r="I316" s="2" t="s">
        <v>222</v>
      </c>
    </row>
    <row r="317" spans="1:9" x14ac:dyDescent="0.3">
      <c r="A317" s="9"/>
      <c r="B317" s="8"/>
      <c r="C317" s="32"/>
      <c r="D317" s="31"/>
      <c r="E317" s="31"/>
      <c r="F317" s="31"/>
      <c r="G317" s="164" t="s">
        <v>243</v>
      </c>
      <c r="H317" s="29"/>
    </row>
    <row r="318" spans="1:9" x14ac:dyDescent="0.3">
      <c r="A318" s="9"/>
      <c r="B318" s="8"/>
      <c r="C318" s="32"/>
      <c r="D318" s="31"/>
      <c r="E318" s="31"/>
      <c r="F318" s="31"/>
      <c r="G318" s="30" t="s">
        <v>459</v>
      </c>
      <c r="H318" s="29">
        <f>35*30*2</f>
        <v>2100</v>
      </c>
      <c r="I318" s="2" t="s">
        <v>244</v>
      </c>
    </row>
    <row r="319" spans="1:9" x14ac:dyDescent="0.3">
      <c r="A319" s="9"/>
      <c r="B319" s="8"/>
      <c r="C319" s="32"/>
      <c r="D319" s="31"/>
      <c r="E319" s="31"/>
      <c r="F319" s="31"/>
      <c r="G319" s="164" t="s">
        <v>276</v>
      </c>
      <c r="H319" s="29"/>
    </row>
    <row r="320" spans="1:9" x14ac:dyDescent="0.3">
      <c r="A320" s="9"/>
      <c r="B320" s="8"/>
      <c r="C320" s="32"/>
      <c r="D320" s="31"/>
      <c r="E320" s="31"/>
      <c r="F320" s="31"/>
      <c r="G320" s="30" t="s">
        <v>304</v>
      </c>
      <c r="H320" s="29">
        <f>35*15*2</f>
        <v>1050</v>
      </c>
      <c r="I320" s="2" t="s">
        <v>277</v>
      </c>
    </row>
    <row r="321" spans="1:9" x14ac:dyDescent="0.3">
      <c r="A321" s="9"/>
      <c r="B321" s="8"/>
      <c r="C321" s="32"/>
      <c r="D321" s="31"/>
      <c r="E321" s="31"/>
      <c r="F321" s="31"/>
      <c r="G321" s="30" t="s">
        <v>305</v>
      </c>
      <c r="H321" s="29">
        <f>35*15*3*2</f>
        <v>3150</v>
      </c>
      <c r="I321" s="2" t="s">
        <v>277</v>
      </c>
    </row>
    <row r="322" spans="1:9" x14ac:dyDescent="0.3">
      <c r="A322" s="9"/>
      <c r="B322" s="8"/>
      <c r="C322" s="32"/>
      <c r="D322" s="31"/>
      <c r="E322" s="31"/>
      <c r="F322" s="31"/>
      <c r="G322" s="30" t="s">
        <v>461</v>
      </c>
      <c r="H322" s="29">
        <f>35*80*2</f>
        <v>5600</v>
      </c>
      <c r="I322" s="2" t="s">
        <v>277</v>
      </c>
    </row>
    <row r="323" spans="1:9" x14ac:dyDescent="0.3">
      <c r="A323" s="9"/>
      <c r="B323" s="8"/>
      <c r="C323" s="32"/>
      <c r="D323" s="31"/>
      <c r="E323" s="31"/>
      <c r="F323" s="31"/>
      <c r="G323" s="30" t="s">
        <v>462</v>
      </c>
      <c r="H323" s="29">
        <v>640</v>
      </c>
      <c r="I323" s="2" t="s">
        <v>437</v>
      </c>
    </row>
    <row r="324" spans="1:9" x14ac:dyDescent="0.3">
      <c r="A324" s="9"/>
      <c r="B324" s="8"/>
      <c r="C324" s="32"/>
      <c r="D324" s="31"/>
      <c r="E324" s="31"/>
      <c r="F324" s="31"/>
      <c r="G324" s="30" t="s">
        <v>356</v>
      </c>
      <c r="H324" s="29">
        <f>35*30*2</f>
        <v>2100</v>
      </c>
      <c r="I324" s="2" t="s">
        <v>277</v>
      </c>
    </row>
    <row r="325" spans="1:9" x14ac:dyDescent="0.3">
      <c r="A325" s="9"/>
      <c r="B325" s="8"/>
      <c r="C325" s="32"/>
      <c r="D325" s="31"/>
      <c r="E325" s="31"/>
      <c r="F325" s="31"/>
      <c r="G325" s="30" t="s">
        <v>306</v>
      </c>
      <c r="H325" s="29">
        <f>500*10</f>
        <v>5000</v>
      </c>
      <c r="I325" s="2" t="s">
        <v>277</v>
      </c>
    </row>
    <row r="326" spans="1:9" x14ac:dyDescent="0.3">
      <c r="A326" s="9"/>
      <c r="B326" s="8"/>
      <c r="C326" s="32"/>
      <c r="D326" s="31"/>
      <c r="E326" s="31"/>
      <c r="F326" s="31"/>
      <c r="G326" s="165" t="s">
        <v>255</v>
      </c>
      <c r="H326" s="166">
        <f>SUM(H312:H325)</f>
        <v>22860</v>
      </c>
    </row>
    <row r="327" spans="1:9" x14ac:dyDescent="0.3">
      <c r="A327" s="9"/>
      <c r="B327" s="8"/>
      <c r="C327" s="32"/>
      <c r="D327" s="31"/>
      <c r="E327" s="31"/>
      <c r="F327" s="31"/>
      <c r="G327" s="35" t="s">
        <v>307</v>
      </c>
      <c r="H327" s="34"/>
    </row>
    <row r="328" spans="1:9" x14ac:dyDescent="0.3">
      <c r="A328" s="9"/>
      <c r="B328" s="8"/>
      <c r="C328" s="32"/>
      <c r="D328" s="31"/>
      <c r="E328" s="31"/>
      <c r="F328" s="31"/>
      <c r="G328" s="164" t="s">
        <v>243</v>
      </c>
      <c r="H328" s="29"/>
    </row>
    <row r="329" spans="1:9" x14ac:dyDescent="0.3">
      <c r="A329" s="9"/>
      <c r="B329" s="8"/>
      <c r="C329" s="32"/>
      <c r="D329" s="31"/>
      <c r="E329" s="31"/>
      <c r="F329" s="31"/>
      <c r="G329" s="176" t="s">
        <v>475</v>
      </c>
      <c r="H329" s="182">
        <f>35*8*3</f>
        <v>840</v>
      </c>
      <c r="I329" s="2" t="s">
        <v>244</v>
      </c>
    </row>
    <row r="330" spans="1:9" x14ac:dyDescent="0.3">
      <c r="A330" s="9"/>
      <c r="B330" s="8"/>
      <c r="C330" s="32"/>
      <c r="D330" s="31"/>
      <c r="E330" s="31"/>
      <c r="F330" s="31"/>
      <c r="G330" s="164" t="s">
        <v>276</v>
      </c>
      <c r="H330" s="29"/>
    </row>
    <row r="331" spans="1:9" x14ac:dyDescent="0.3">
      <c r="A331" s="9"/>
      <c r="B331" s="8"/>
      <c r="C331" s="32"/>
      <c r="D331" s="31"/>
      <c r="E331" s="31"/>
      <c r="F331" s="31"/>
      <c r="G331" s="55" t="s">
        <v>352</v>
      </c>
      <c r="H331" s="43">
        <f>30*2*90*2</f>
        <v>10800</v>
      </c>
      <c r="I331" s="2" t="s">
        <v>277</v>
      </c>
    </row>
    <row r="332" spans="1:9" x14ac:dyDescent="0.3">
      <c r="A332" s="9"/>
      <c r="B332" s="8"/>
      <c r="C332" s="32"/>
      <c r="D332" s="31"/>
      <c r="E332" s="31"/>
      <c r="F332" s="31"/>
      <c r="G332" s="165" t="s">
        <v>255</v>
      </c>
      <c r="H332" s="166">
        <f>SUM(H329:H331)</f>
        <v>11640</v>
      </c>
    </row>
    <row r="333" spans="1:9" x14ac:dyDescent="0.3">
      <c r="A333" s="17" t="s">
        <v>315</v>
      </c>
      <c r="B333" s="16"/>
      <c r="C333" s="15"/>
      <c r="D333" s="14">
        <f>SUM(D334)</f>
        <v>937680</v>
      </c>
      <c r="E333" s="14">
        <f>SUM(E334)</f>
        <v>699004</v>
      </c>
      <c r="F333" s="14">
        <f>D333-E333</f>
        <v>238676</v>
      </c>
      <c r="G333" s="13"/>
      <c r="H333" s="174"/>
    </row>
    <row r="334" spans="1:9" x14ac:dyDescent="0.3">
      <c r="A334" s="9"/>
      <c r="B334" s="12" t="s">
        <v>315</v>
      </c>
      <c r="C334" s="11"/>
      <c r="D334" s="10">
        <f>SUM(D335:D369)</f>
        <v>937680</v>
      </c>
      <c r="E334" s="10">
        <f>SUM(E335:E369)</f>
        <v>699004</v>
      </c>
      <c r="F334" s="10">
        <f>D334-E334</f>
        <v>238676</v>
      </c>
      <c r="G334" s="169"/>
      <c r="H334" s="170"/>
    </row>
    <row r="335" spans="1:9" x14ac:dyDescent="0.3">
      <c r="A335" s="9"/>
      <c r="B335" s="8"/>
      <c r="C335" s="7" t="s">
        <v>316</v>
      </c>
      <c r="D335" s="47">
        <f>H352</f>
        <v>658960</v>
      </c>
      <c r="E335" s="47">
        <v>542934</v>
      </c>
      <c r="F335" s="47">
        <f>D335-E335</f>
        <v>116026</v>
      </c>
      <c r="G335" s="35" t="s">
        <v>276</v>
      </c>
      <c r="H335" s="34"/>
    </row>
    <row r="336" spans="1:9" ht="24" x14ac:dyDescent="0.3">
      <c r="A336" s="9"/>
      <c r="B336" s="8"/>
      <c r="C336" s="32"/>
      <c r="D336" s="31"/>
      <c r="E336" s="31"/>
      <c r="F336" s="31"/>
      <c r="G336" s="158" t="s">
        <v>373</v>
      </c>
      <c r="H336" s="29">
        <f>4400*6*12</f>
        <v>316800</v>
      </c>
      <c r="I336" s="2" t="s">
        <v>317</v>
      </c>
    </row>
    <row r="337" spans="1:9" x14ac:dyDescent="0.3">
      <c r="A337" s="9"/>
      <c r="B337" s="8"/>
      <c r="C337" s="32"/>
      <c r="D337" s="31"/>
      <c r="E337" s="31"/>
      <c r="F337" s="31"/>
      <c r="G337" s="46" t="s">
        <v>318</v>
      </c>
      <c r="H337" s="29">
        <f>3550*12</f>
        <v>42600</v>
      </c>
      <c r="I337" s="2" t="s">
        <v>317</v>
      </c>
    </row>
    <row r="338" spans="1:9" x14ac:dyDescent="0.3">
      <c r="A338" s="9"/>
      <c r="B338" s="8"/>
      <c r="C338" s="32"/>
      <c r="D338" s="31"/>
      <c r="E338" s="31"/>
      <c r="F338" s="31"/>
      <c r="G338" s="159" t="s">
        <v>374</v>
      </c>
      <c r="H338" s="43">
        <f>25000*9</f>
        <v>225000</v>
      </c>
      <c r="I338" s="2" t="s">
        <v>317</v>
      </c>
    </row>
    <row r="339" spans="1:9" x14ac:dyDescent="0.3">
      <c r="A339" s="9"/>
      <c r="B339" s="8"/>
      <c r="C339" s="32"/>
      <c r="D339" s="31"/>
      <c r="E339" s="31"/>
      <c r="F339" s="31"/>
      <c r="G339" s="46" t="s">
        <v>375</v>
      </c>
      <c r="H339" s="29">
        <f>1700*9</f>
        <v>15300</v>
      </c>
      <c r="I339" s="2" t="s">
        <v>317</v>
      </c>
    </row>
    <row r="340" spans="1:9" x14ac:dyDescent="0.3">
      <c r="A340" s="9"/>
      <c r="B340" s="8"/>
      <c r="C340" s="32"/>
      <c r="D340" s="31"/>
      <c r="E340" s="31"/>
      <c r="F340" s="31"/>
      <c r="G340" s="46" t="s">
        <v>376</v>
      </c>
      <c r="H340" s="29">
        <f>35*6*2</f>
        <v>420</v>
      </c>
      <c r="I340" s="2" t="s">
        <v>317</v>
      </c>
    </row>
    <row r="341" spans="1:9" x14ac:dyDescent="0.3">
      <c r="A341" s="9"/>
      <c r="B341" s="8"/>
      <c r="C341" s="32"/>
      <c r="D341" s="31"/>
      <c r="E341" s="31"/>
      <c r="F341" s="31"/>
      <c r="G341" s="46" t="s">
        <v>319</v>
      </c>
      <c r="H341" s="29">
        <f>1100*12</f>
        <v>13200</v>
      </c>
      <c r="I341" s="2" t="s">
        <v>317</v>
      </c>
    </row>
    <row r="342" spans="1:9" x14ac:dyDescent="0.3">
      <c r="A342" s="9"/>
      <c r="B342" s="8"/>
      <c r="C342" s="32"/>
      <c r="D342" s="31"/>
      <c r="E342" s="31"/>
      <c r="F342" s="31"/>
      <c r="G342" s="46" t="s">
        <v>377</v>
      </c>
      <c r="H342" s="29">
        <f>500*12</f>
        <v>6000</v>
      </c>
      <c r="I342" s="2" t="s">
        <v>317</v>
      </c>
    </row>
    <row r="343" spans="1:9" x14ac:dyDescent="0.3">
      <c r="A343" s="9"/>
      <c r="B343" s="8"/>
      <c r="C343" s="32"/>
      <c r="D343" s="31"/>
      <c r="E343" s="31"/>
      <c r="F343" s="31"/>
      <c r="G343" s="46" t="s">
        <v>378</v>
      </c>
      <c r="H343" s="29">
        <f>340*10</f>
        <v>3400</v>
      </c>
      <c r="I343" s="2" t="s">
        <v>317</v>
      </c>
    </row>
    <row r="344" spans="1:9" x14ac:dyDescent="0.3">
      <c r="A344" s="9"/>
      <c r="B344" s="8"/>
      <c r="C344" s="32"/>
      <c r="D344" s="31"/>
      <c r="E344" s="31"/>
      <c r="F344" s="31"/>
      <c r="G344" s="46" t="s">
        <v>387</v>
      </c>
      <c r="H344" s="29">
        <v>2840</v>
      </c>
      <c r="I344" s="2" t="s">
        <v>317</v>
      </c>
    </row>
    <row r="345" spans="1:9" x14ac:dyDescent="0.3">
      <c r="A345" s="9"/>
      <c r="B345" s="8"/>
      <c r="C345" s="32"/>
      <c r="D345" s="31"/>
      <c r="E345" s="31"/>
      <c r="F345" s="31"/>
      <c r="G345" s="46" t="s">
        <v>320</v>
      </c>
      <c r="H345" s="29">
        <v>1500</v>
      </c>
      <c r="I345" s="2" t="s">
        <v>317</v>
      </c>
    </row>
    <row r="346" spans="1:9" x14ac:dyDescent="0.3">
      <c r="A346" s="9"/>
      <c r="B346" s="8"/>
      <c r="C346" s="32"/>
      <c r="D346" s="31"/>
      <c r="E346" s="31"/>
      <c r="F346" s="31"/>
      <c r="G346" s="46" t="s">
        <v>321</v>
      </c>
      <c r="H346" s="29">
        <f>1500*12</f>
        <v>18000</v>
      </c>
      <c r="I346" s="2" t="s">
        <v>317</v>
      </c>
    </row>
    <row r="347" spans="1:9" x14ac:dyDescent="0.3">
      <c r="A347" s="9"/>
      <c r="B347" s="8"/>
      <c r="C347" s="32"/>
      <c r="D347" s="31"/>
      <c r="E347" s="31"/>
      <c r="F347" s="31"/>
      <c r="G347" s="46" t="s">
        <v>379</v>
      </c>
      <c r="H347" s="29">
        <f>500*12</f>
        <v>6000</v>
      </c>
      <c r="I347" s="2" t="s">
        <v>317</v>
      </c>
    </row>
    <row r="348" spans="1:9" x14ac:dyDescent="0.3">
      <c r="A348" s="9"/>
      <c r="B348" s="8"/>
      <c r="C348" s="32"/>
      <c r="D348" s="31"/>
      <c r="E348" s="31"/>
      <c r="F348" s="31"/>
      <c r="G348" s="46" t="s">
        <v>380</v>
      </c>
      <c r="H348" s="29">
        <f>50*12</f>
        <v>600</v>
      </c>
      <c r="I348" s="2" t="s">
        <v>317</v>
      </c>
    </row>
    <row r="349" spans="1:9" x14ac:dyDescent="0.3">
      <c r="A349" s="9"/>
      <c r="B349" s="8"/>
      <c r="C349" s="32"/>
      <c r="D349" s="31"/>
      <c r="E349" s="31"/>
      <c r="F349" s="31"/>
      <c r="G349" s="46" t="s">
        <v>322</v>
      </c>
      <c r="H349" s="29">
        <v>100</v>
      </c>
      <c r="I349" s="2" t="s">
        <v>317</v>
      </c>
    </row>
    <row r="350" spans="1:9" x14ac:dyDescent="0.3">
      <c r="A350" s="9"/>
      <c r="B350" s="8"/>
      <c r="C350" s="32"/>
      <c r="D350" s="31"/>
      <c r="E350" s="31"/>
      <c r="F350" s="31"/>
      <c r="G350" s="46" t="s">
        <v>323</v>
      </c>
      <c r="H350" s="29">
        <f>400*6</f>
        <v>2400</v>
      </c>
      <c r="I350" s="2" t="s">
        <v>317</v>
      </c>
    </row>
    <row r="351" spans="1:9" x14ac:dyDescent="0.3">
      <c r="A351" s="9"/>
      <c r="B351" s="8"/>
      <c r="C351" s="32"/>
      <c r="D351" s="31"/>
      <c r="E351" s="31"/>
      <c r="F351" s="31"/>
      <c r="G351" s="45" t="s">
        <v>324</v>
      </c>
      <c r="H351" s="44">
        <f>400*12</f>
        <v>4800</v>
      </c>
      <c r="I351" s="2" t="s">
        <v>317</v>
      </c>
    </row>
    <row r="352" spans="1:9" x14ac:dyDescent="0.3">
      <c r="A352" s="9"/>
      <c r="B352" s="8"/>
      <c r="C352" s="32"/>
      <c r="D352" s="31"/>
      <c r="E352" s="31"/>
      <c r="F352" s="31"/>
      <c r="G352" s="165" t="s">
        <v>255</v>
      </c>
      <c r="H352" s="166">
        <f>SUM(H336:H351)</f>
        <v>658960</v>
      </c>
    </row>
    <row r="353" spans="1:9" ht="24" x14ac:dyDescent="0.3">
      <c r="A353" s="9"/>
      <c r="B353" s="8"/>
      <c r="C353" s="220" t="s">
        <v>5</v>
      </c>
      <c r="D353" s="31">
        <f>H361</f>
        <v>187000</v>
      </c>
      <c r="E353" s="31">
        <v>113070</v>
      </c>
      <c r="F353" s="31">
        <f>D353-E353</f>
        <v>73930</v>
      </c>
      <c r="G353" s="35" t="s">
        <v>257</v>
      </c>
      <c r="H353" s="34"/>
    </row>
    <row r="354" spans="1:9" ht="24" x14ac:dyDescent="0.3">
      <c r="A354" s="9"/>
      <c r="B354" s="8"/>
      <c r="C354" s="32"/>
      <c r="D354" s="31"/>
      <c r="E354" s="31"/>
      <c r="F354" s="31"/>
      <c r="G354" s="30" t="s">
        <v>401</v>
      </c>
      <c r="H354" s="29">
        <f>50*44*3*5</f>
        <v>33000</v>
      </c>
      <c r="I354" s="2" t="s">
        <v>259</v>
      </c>
    </row>
    <row r="355" spans="1:9" x14ac:dyDescent="0.3">
      <c r="A355" s="9"/>
      <c r="B355" s="8"/>
      <c r="C355" s="32"/>
      <c r="D355" s="31"/>
      <c r="E355" s="31"/>
      <c r="F355" s="31"/>
      <c r="G355" s="164" t="s">
        <v>260</v>
      </c>
      <c r="H355" s="29"/>
    </row>
    <row r="356" spans="1:9" ht="24" x14ac:dyDescent="0.3">
      <c r="A356" s="9"/>
      <c r="B356" s="8"/>
      <c r="C356" s="32"/>
      <c r="D356" s="31"/>
      <c r="E356" s="31"/>
      <c r="F356" s="31"/>
      <c r="G356" s="55" t="s">
        <v>402</v>
      </c>
      <c r="H356" s="43">
        <f>150*200*2</f>
        <v>60000</v>
      </c>
      <c r="I356" s="2" t="s">
        <v>222</v>
      </c>
    </row>
    <row r="357" spans="1:9" s="37" customFormat="1" x14ac:dyDescent="0.3">
      <c r="A357" s="42"/>
      <c r="B357" s="41"/>
      <c r="C357" s="41"/>
      <c r="D357" s="40"/>
      <c r="E357" s="40"/>
      <c r="F357" s="40"/>
      <c r="G357" s="36" t="s">
        <v>441</v>
      </c>
      <c r="H357" s="38">
        <f>500*50*2</f>
        <v>50000</v>
      </c>
      <c r="I357" s="2" t="s">
        <v>222</v>
      </c>
    </row>
    <row r="358" spans="1:9" x14ac:dyDescent="0.3">
      <c r="A358" s="9"/>
      <c r="B358" s="8"/>
      <c r="C358" s="32"/>
      <c r="D358" s="31"/>
      <c r="E358" s="31"/>
      <c r="F358" s="31"/>
      <c r="G358" s="164" t="s">
        <v>243</v>
      </c>
      <c r="H358" s="29"/>
    </row>
    <row r="359" spans="1:9" x14ac:dyDescent="0.3">
      <c r="A359" s="9"/>
      <c r="B359" s="8"/>
      <c r="C359" s="32"/>
      <c r="D359" s="31"/>
      <c r="E359" s="31"/>
      <c r="F359" s="31"/>
      <c r="G359" s="36" t="s">
        <v>325</v>
      </c>
      <c r="H359" s="29">
        <f>200*50*2</f>
        <v>20000</v>
      </c>
      <c r="I359" s="2" t="s">
        <v>244</v>
      </c>
    </row>
    <row r="360" spans="1:9" x14ac:dyDescent="0.3">
      <c r="A360" s="9"/>
      <c r="B360" s="8"/>
      <c r="C360" s="32"/>
      <c r="D360" s="31"/>
      <c r="E360" s="31"/>
      <c r="F360" s="31"/>
      <c r="G360" s="36" t="s">
        <v>326</v>
      </c>
      <c r="H360" s="29">
        <f>200*60*2</f>
        <v>24000</v>
      </c>
      <c r="I360" s="2" t="s">
        <v>244</v>
      </c>
    </row>
    <row r="361" spans="1:9" x14ac:dyDescent="0.3">
      <c r="A361" s="9"/>
      <c r="B361" s="8"/>
      <c r="C361" s="32"/>
      <c r="D361" s="31"/>
      <c r="E361" s="31"/>
      <c r="F361" s="31"/>
      <c r="G361" s="184" t="s">
        <v>255</v>
      </c>
      <c r="H361" s="185">
        <f>SUM(H354:H360)</f>
        <v>187000</v>
      </c>
    </row>
    <row r="362" spans="1:9" x14ac:dyDescent="0.3">
      <c r="A362" s="9"/>
      <c r="B362" s="8"/>
      <c r="C362" s="32" t="s">
        <v>0</v>
      </c>
      <c r="D362" s="31">
        <f>H368</f>
        <v>51720</v>
      </c>
      <c r="E362" s="31">
        <v>0</v>
      </c>
      <c r="F362" s="31">
        <f>D362-E362</f>
        <v>51720</v>
      </c>
      <c r="G362" s="186" t="s">
        <v>257</v>
      </c>
      <c r="H362" s="187"/>
    </row>
    <row r="363" spans="1:9" x14ac:dyDescent="0.3">
      <c r="A363" s="9"/>
      <c r="B363" s="8"/>
      <c r="C363" s="32"/>
      <c r="D363" s="31"/>
      <c r="E363" s="31">
        <v>0</v>
      </c>
      <c r="F363" s="31"/>
      <c r="G363" s="36" t="s">
        <v>403</v>
      </c>
      <c r="H363" s="29">
        <f>20*44*4</f>
        <v>3520</v>
      </c>
      <c r="I363" s="2" t="s">
        <v>259</v>
      </c>
    </row>
    <row r="364" spans="1:9" x14ac:dyDescent="0.3">
      <c r="A364" s="9"/>
      <c r="B364" s="8"/>
      <c r="C364" s="32"/>
      <c r="D364" s="31"/>
      <c r="E364" s="31"/>
      <c r="F364" s="31"/>
      <c r="G364" s="164" t="s">
        <v>260</v>
      </c>
      <c r="H364" s="29"/>
    </row>
    <row r="365" spans="1:9" x14ac:dyDescent="0.3">
      <c r="A365" s="9"/>
      <c r="B365" s="8"/>
      <c r="C365" s="32"/>
      <c r="D365" s="31"/>
      <c r="E365" s="31"/>
      <c r="F365" s="31"/>
      <c r="G365" s="36" t="s">
        <v>404</v>
      </c>
      <c r="H365" s="29">
        <f>40*220*4</f>
        <v>35200</v>
      </c>
      <c r="I365" s="2" t="s">
        <v>222</v>
      </c>
    </row>
    <row r="366" spans="1:9" x14ac:dyDescent="0.3">
      <c r="A366" s="9"/>
      <c r="B366" s="8"/>
      <c r="C366" s="32"/>
      <c r="D366" s="31"/>
      <c r="E366" s="31"/>
      <c r="F366" s="31"/>
      <c r="G366" s="164" t="s">
        <v>243</v>
      </c>
      <c r="H366" s="29"/>
    </row>
    <row r="367" spans="1:9" x14ac:dyDescent="0.3">
      <c r="A367" s="9"/>
      <c r="B367" s="8"/>
      <c r="C367" s="32"/>
      <c r="D367" s="31"/>
      <c r="E367" s="31"/>
      <c r="F367" s="31"/>
      <c r="G367" s="36" t="s">
        <v>405</v>
      </c>
      <c r="H367" s="29">
        <f>50*65*4</f>
        <v>13000</v>
      </c>
      <c r="I367" s="2" t="s">
        <v>244</v>
      </c>
    </row>
    <row r="368" spans="1:9" x14ac:dyDescent="0.3">
      <c r="A368" s="9"/>
      <c r="B368" s="8"/>
      <c r="C368" s="32"/>
      <c r="D368" s="31"/>
      <c r="E368" s="31"/>
      <c r="F368" s="31"/>
      <c r="G368" s="165" t="s">
        <v>255</v>
      </c>
      <c r="H368" s="166">
        <f>SUM(H363:H367)</f>
        <v>51720</v>
      </c>
    </row>
    <row r="369" spans="1:9" x14ac:dyDescent="0.3">
      <c r="A369" s="9"/>
      <c r="B369" s="8"/>
      <c r="C369" s="32" t="s">
        <v>4</v>
      </c>
      <c r="D369" s="31">
        <f>H372</f>
        <v>40000</v>
      </c>
      <c r="E369" s="31">
        <v>43000</v>
      </c>
      <c r="F369" s="31">
        <f>D369-E369</f>
        <v>-3000</v>
      </c>
      <c r="G369" s="35" t="s">
        <v>243</v>
      </c>
      <c r="H369" s="34"/>
    </row>
    <row r="370" spans="1:9" x14ac:dyDescent="0.3">
      <c r="A370" s="9"/>
      <c r="B370" s="8"/>
      <c r="C370" s="32"/>
      <c r="D370" s="31"/>
      <c r="E370" s="31"/>
      <c r="F370" s="31"/>
      <c r="G370" s="30" t="s">
        <v>327</v>
      </c>
      <c r="H370" s="33">
        <f>300*45*2</f>
        <v>27000</v>
      </c>
      <c r="I370" s="2" t="s">
        <v>13</v>
      </c>
    </row>
    <row r="371" spans="1:9" x14ac:dyDescent="0.3">
      <c r="A371" s="9"/>
      <c r="B371" s="8"/>
      <c r="C371" s="32"/>
      <c r="D371" s="31"/>
      <c r="E371" s="31"/>
      <c r="F371" s="31"/>
      <c r="G371" s="30" t="s">
        <v>328</v>
      </c>
      <c r="H371" s="29">
        <f>260*50</f>
        <v>13000</v>
      </c>
      <c r="I371" s="2" t="s">
        <v>13</v>
      </c>
    </row>
    <row r="372" spans="1:9" ht="17.25" thickBot="1" x14ac:dyDescent="0.35">
      <c r="A372" s="28"/>
      <c r="B372" s="27"/>
      <c r="C372" s="148"/>
      <c r="D372" s="149"/>
      <c r="E372" s="149"/>
      <c r="F372" s="149"/>
      <c r="G372" s="188" t="s">
        <v>32</v>
      </c>
      <c r="H372" s="189">
        <f>SUM(H370:H371)</f>
        <v>40000</v>
      </c>
    </row>
    <row r="373" spans="1:9" x14ac:dyDescent="0.3">
      <c r="A373" s="17" t="s">
        <v>308</v>
      </c>
      <c r="B373" s="16"/>
      <c r="C373" s="15"/>
      <c r="D373" s="50">
        <f>D374</f>
        <v>48600</v>
      </c>
      <c r="E373" s="50">
        <f>E374</f>
        <v>274860</v>
      </c>
      <c r="F373" s="14">
        <f>D373-E373</f>
        <v>-226260</v>
      </c>
      <c r="G373" s="13"/>
      <c r="H373" s="174"/>
    </row>
    <row r="374" spans="1:9" x14ac:dyDescent="0.3">
      <c r="A374" s="9"/>
      <c r="B374" s="12" t="s">
        <v>308</v>
      </c>
      <c r="C374" s="11"/>
      <c r="D374" s="10">
        <f>SUM(D375:D383)</f>
        <v>48600</v>
      </c>
      <c r="E374" s="10">
        <f>SUM(E375:E383)</f>
        <v>274860</v>
      </c>
      <c r="F374" s="10">
        <f>D374-E374</f>
        <v>-226260</v>
      </c>
      <c r="G374" s="169"/>
      <c r="H374" s="170"/>
      <c r="I374" s="183"/>
    </row>
    <row r="375" spans="1:9" x14ac:dyDescent="0.3">
      <c r="A375" s="9"/>
      <c r="B375" s="8"/>
      <c r="C375" s="7" t="s">
        <v>308</v>
      </c>
      <c r="D375" s="47">
        <f>H382</f>
        <v>42600</v>
      </c>
      <c r="E375" s="47">
        <v>264060</v>
      </c>
      <c r="F375" s="47">
        <f>D375-E375</f>
        <v>-221460</v>
      </c>
      <c r="G375" s="35"/>
      <c r="H375" s="34"/>
    </row>
    <row r="376" spans="1:9" x14ac:dyDescent="0.3">
      <c r="A376" s="9"/>
      <c r="B376" s="8"/>
      <c r="C376" s="32"/>
      <c r="D376" s="31"/>
      <c r="E376" s="31"/>
      <c r="F376" s="31"/>
      <c r="G376" s="164" t="s">
        <v>276</v>
      </c>
      <c r="H376" s="29"/>
    </row>
    <row r="377" spans="1:9" x14ac:dyDescent="0.3">
      <c r="A377" s="9"/>
      <c r="B377" s="8"/>
      <c r="C377" s="32"/>
      <c r="D377" s="31"/>
      <c r="E377" s="31"/>
      <c r="F377" s="31"/>
      <c r="G377" s="30" t="s">
        <v>358</v>
      </c>
      <c r="H377" s="29">
        <f>1200*5</f>
        <v>6000</v>
      </c>
      <c r="I377" s="2" t="s">
        <v>277</v>
      </c>
    </row>
    <row r="378" spans="1:9" s="51" customFormat="1" x14ac:dyDescent="0.3">
      <c r="A378" s="9"/>
      <c r="B378" s="8"/>
      <c r="C378" s="32"/>
      <c r="D378" s="31"/>
      <c r="E378" s="31"/>
      <c r="F378" s="31"/>
      <c r="G378" s="30" t="s">
        <v>309</v>
      </c>
      <c r="H378" s="29">
        <f>800*2</f>
        <v>1600</v>
      </c>
      <c r="I378" s="2" t="s">
        <v>277</v>
      </c>
    </row>
    <row r="379" spans="1:9" s="51" customFormat="1" x14ac:dyDescent="0.3">
      <c r="A379" s="9"/>
      <c r="B379" s="8"/>
      <c r="C379" s="32"/>
      <c r="D379" s="31"/>
      <c r="E379" s="31"/>
      <c r="F379" s="31"/>
      <c r="G379" s="30" t="s">
        <v>310</v>
      </c>
      <c r="H379" s="29">
        <f>4000*5</f>
        <v>20000</v>
      </c>
      <c r="I379" s="2" t="s">
        <v>277</v>
      </c>
    </row>
    <row r="380" spans="1:9" s="51" customFormat="1" x14ac:dyDescent="0.3">
      <c r="A380" s="9"/>
      <c r="B380" s="8"/>
      <c r="C380" s="32"/>
      <c r="D380" s="31"/>
      <c r="E380" s="31"/>
      <c r="F380" s="31"/>
      <c r="G380" s="30" t="s">
        <v>359</v>
      </c>
      <c r="H380" s="29">
        <f>2000*5</f>
        <v>10000</v>
      </c>
      <c r="I380" s="2" t="s">
        <v>277</v>
      </c>
    </row>
    <row r="381" spans="1:9" s="51" customFormat="1" x14ac:dyDescent="0.3">
      <c r="A381" s="9"/>
      <c r="B381" s="8"/>
      <c r="C381" s="32"/>
      <c r="D381" s="31"/>
      <c r="E381" s="31"/>
      <c r="F381" s="31"/>
      <c r="G381" s="30" t="s">
        <v>360</v>
      </c>
      <c r="H381" s="29">
        <f>1000*5</f>
        <v>5000</v>
      </c>
      <c r="I381" s="2" t="s">
        <v>277</v>
      </c>
    </row>
    <row r="382" spans="1:9" x14ac:dyDescent="0.3">
      <c r="A382" s="9"/>
      <c r="B382" s="8"/>
      <c r="C382" s="32"/>
      <c r="D382" s="31"/>
      <c r="E382" s="31"/>
      <c r="F382" s="31"/>
      <c r="G382" s="165" t="s">
        <v>255</v>
      </c>
      <c r="H382" s="166">
        <f>SUM(H375:H381)</f>
        <v>42600</v>
      </c>
    </row>
    <row r="383" spans="1:9" x14ac:dyDescent="0.3">
      <c r="A383" s="9"/>
      <c r="B383" s="8"/>
      <c r="C383" s="32" t="s">
        <v>311</v>
      </c>
      <c r="D383" s="31">
        <f>H385</f>
        <v>6000</v>
      </c>
      <c r="E383" s="31">
        <v>10800</v>
      </c>
      <c r="F383" s="31">
        <f>D383-E383</f>
        <v>-4800</v>
      </c>
      <c r="G383" s="35" t="s">
        <v>276</v>
      </c>
      <c r="H383" s="34"/>
    </row>
    <row r="384" spans="1:9" x14ac:dyDescent="0.3">
      <c r="A384" s="9"/>
      <c r="B384" s="8"/>
      <c r="C384" s="32"/>
      <c r="D384" s="31"/>
      <c r="E384" s="31"/>
      <c r="F384" s="31"/>
      <c r="G384" s="30" t="s">
        <v>312</v>
      </c>
      <c r="H384" s="29">
        <f>15*200*2</f>
        <v>6000</v>
      </c>
      <c r="I384" s="2" t="s">
        <v>279</v>
      </c>
    </row>
    <row r="385" spans="1:9" x14ac:dyDescent="0.3">
      <c r="A385" s="9"/>
      <c r="B385" s="8"/>
      <c r="C385" s="19"/>
      <c r="D385" s="48"/>
      <c r="E385" s="48"/>
      <c r="F385" s="48"/>
      <c r="G385" s="165" t="s">
        <v>255</v>
      </c>
      <c r="H385" s="166">
        <f>SUM(H384:H384)</f>
        <v>6000</v>
      </c>
    </row>
    <row r="386" spans="1:9" x14ac:dyDescent="0.3">
      <c r="A386" s="17" t="s">
        <v>313</v>
      </c>
      <c r="B386" s="16"/>
      <c r="C386" s="15"/>
      <c r="D386" s="14">
        <f>SUM(D387)</f>
        <v>1500000</v>
      </c>
      <c r="E386" s="14">
        <f>SUM(E387)</f>
        <v>1418098</v>
      </c>
      <c r="F386" s="14">
        <f t="shared" ref="F386" si="0">SUM(F387)</f>
        <v>81902</v>
      </c>
      <c r="G386" s="13"/>
      <c r="H386" s="174"/>
    </row>
    <row r="387" spans="1:9" x14ac:dyDescent="0.3">
      <c r="A387" s="9"/>
      <c r="B387" s="12" t="s">
        <v>314</v>
      </c>
      <c r="C387" s="11"/>
      <c r="D387" s="10">
        <f>SUM(D388:D390)</f>
        <v>1500000</v>
      </c>
      <c r="E387" s="10">
        <v>1418098</v>
      </c>
      <c r="F387" s="10">
        <f>D387-E387</f>
        <v>81902</v>
      </c>
      <c r="G387" s="169"/>
      <c r="H387" s="170"/>
    </row>
    <row r="388" spans="1:9" x14ac:dyDescent="0.3">
      <c r="A388" s="9"/>
      <c r="B388" s="8"/>
      <c r="C388" s="7" t="s">
        <v>509</v>
      </c>
      <c r="D388" s="47">
        <f>H390</f>
        <v>1500000</v>
      </c>
      <c r="E388" s="47">
        <v>1418098</v>
      </c>
      <c r="F388" s="47">
        <f>D388-E388</f>
        <v>81902</v>
      </c>
      <c r="G388" s="35" t="s">
        <v>276</v>
      </c>
      <c r="H388" s="34"/>
    </row>
    <row r="389" spans="1:9" ht="24" x14ac:dyDescent="0.3">
      <c r="A389" s="9"/>
      <c r="B389" s="8"/>
      <c r="C389" s="32"/>
      <c r="D389" s="31"/>
      <c r="E389" s="31"/>
      <c r="F389" s="31"/>
      <c r="G389" s="55" t="s">
        <v>496</v>
      </c>
      <c r="H389" s="43">
        <v>1500000</v>
      </c>
    </row>
    <row r="390" spans="1:9" x14ac:dyDescent="0.3">
      <c r="A390" s="9"/>
      <c r="B390" s="8"/>
      <c r="C390" s="32"/>
      <c r="D390" s="31"/>
      <c r="E390" s="31"/>
      <c r="F390" s="31"/>
      <c r="G390" s="165" t="s">
        <v>255</v>
      </c>
      <c r="H390" s="166">
        <f>SUM(H389:H389)</f>
        <v>1500000</v>
      </c>
    </row>
    <row r="391" spans="1:9" x14ac:dyDescent="0.3">
      <c r="A391" s="23" t="s">
        <v>510</v>
      </c>
      <c r="B391" s="22"/>
      <c r="C391" s="21"/>
      <c r="D391" s="20">
        <f>SUM(D392,D395)</f>
        <v>155000</v>
      </c>
      <c r="E391" s="20">
        <f>SUM(E392,E395)</f>
        <v>324000</v>
      </c>
      <c r="F391" s="20">
        <f>D391-E391</f>
        <v>-169000</v>
      </c>
      <c r="G391" s="190"/>
      <c r="H391" s="191"/>
    </row>
    <row r="392" spans="1:9" x14ac:dyDescent="0.3">
      <c r="A392" s="9"/>
      <c r="B392" s="12" t="s">
        <v>511</v>
      </c>
      <c r="C392" s="11"/>
      <c r="D392" s="10">
        <f>SUM(D393:D394)</f>
        <v>150000</v>
      </c>
      <c r="E392" s="10">
        <f>SUM(E393:E394)</f>
        <v>300000</v>
      </c>
      <c r="F392" s="10">
        <f>D392-E392</f>
        <v>-150000</v>
      </c>
      <c r="G392" s="169"/>
      <c r="H392" s="170"/>
    </row>
    <row r="393" spans="1:9" x14ac:dyDescent="0.3">
      <c r="A393" s="9"/>
      <c r="B393" s="8"/>
      <c r="C393" s="19" t="s">
        <v>3</v>
      </c>
      <c r="D393" s="6"/>
      <c r="E393" s="6"/>
      <c r="F393" s="6"/>
      <c r="G393" s="172"/>
      <c r="H393" s="173"/>
    </row>
    <row r="394" spans="1:9" x14ac:dyDescent="0.3">
      <c r="A394" s="9"/>
      <c r="B394" s="8"/>
      <c r="C394" s="18" t="s">
        <v>329</v>
      </c>
      <c r="D394" s="6">
        <f>H394</f>
        <v>150000</v>
      </c>
      <c r="E394" s="6">
        <v>300000</v>
      </c>
      <c r="F394" s="6">
        <f>D394-E394</f>
        <v>-150000</v>
      </c>
      <c r="G394" s="192" t="s">
        <v>330</v>
      </c>
      <c r="H394" s="193">
        <v>150000</v>
      </c>
      <c r="I394" s="2" t="s">
        <v>1</v>
      </c>
    </row>
    <row r="395" spans="1:9" x14ac:dyDescent="0.3">
      <c r="A395" s="9"/>
      <c r="B395" s="12" t="s">
        <v>2</v>
      </c>
      <c r="C395" s="11"/>
      <c r="D395" s="10">
        <f>SUM(D396)</f>
        <v>5000</v>
      </c>
      <c r="E395" s="10">
        <f>SUM(E396)</f>
        <v>24000</v>
      </c>
      <c r="F395" s="10">
        <f>-D395-E395</f>
        <v>-29000</v>
      </c>
      <c r="G395" s="169"/>
      <c r="H395" s="170"/>
    </row>
    <row r="396" spans="1:9" x14ac:dyDescent="0.3">
      <c r="A396" s="9"/>
      <c r="B396" s="8"/>
      <c r="C396" s="7" t="s">
        <v>331</v>
      </c>
      <c r="D396" s="6">
        <f>H396</f>
        <v>5000</v>
      </c>
      <c r="E396" s="6">
        <v>24000</v>
      </c>
      <c r="F396" s="6">
        <f>D396-E396</f>
        <v>-19000</v>
      </c>
      <c r="G396" s="172" t="s">
        <v>341</v>
      </c>
      <c r="H396" s="173">
        <v>5000</v>
      </c>
      <c r="I396" s="2" t="s">
        <v>277</v>
      </c>
    </row>
    <row r="397" spans="1:9" x14ac:dyDescent="0.3">
      <c r="A397" s="26"/>
      <c r="B397" s="24"/>
      <c r="C397" s="24"/>
      <c r="D397" s="25"/>
      <c r="E397" s="24"/>
      <c r="F397" s="24"/>
      <c r="G397" s="194"/>
      <c r="H397" s="195"/>
    </row>
    <row r="398" spans="1:9" x14ac:dyDescent="0.3">
      <c r="A398" s="23" t="s">
        <v>332</v>
      </c>
      <c r="B398" s="22"/>
      <c r="C398" s="21"/>
      <c r="D398" s="20">
        <f>SUM(D399,D401,D403,D405)</f>
        <v>0</v>
      </c>
      <c r="E398" s="20">
        <f t="shared" ref="E398:F398" si="1">SUM(E399,E401,E403,E405)</f>
        <v>1500000</v>
      </c>
      <c r="F398" s="20">
        <f t="shared" si="1"/>
        <v>-1500000</v>
      </c>
      <c r="G398" s="190"/>
      <c r="H398" s="191"/>
    </row>
    <row r="399" spans="1:9" x14ac:dyDescent="0.3">
      <c r="A399" s="9"/>
      <c r="B399" s="12" t="s">
        <v>333</v>
      </c>
      <c r="C399" s="11"/>
      <c r="D399" s="10">
        <f>SUM(D400)</f>
        <v>0</v>
      </c>
      <c r="E399" s="10">
        <f>E400</f>
        <v>0</v>
      </c>
      <c r="F399" s="10">
        <f>D399-E399</f>
        <v>0</v>
      </c>
      <c r="G399" s="169"/>
      <c r="H399" s="170"/>
    </row>
    <row r="400" spans="1:9" x14ac:dyDescent="0.3">
      <c r="A400" s="9"/>
      <c r="B400" s="8"/>
      <c r="C400" s="19" t="s">
        <v>333</v>
      </c>
      <c r="D400" s="6">
        <v>0</v>
      </c>
      <c r="E400" s="6"/>
      <c r="F400" s="6">
        <f>D400-E400</f>
        <v>0</v>
      </c>
      <c r="G400" s="172"/>
      <c r="H400" s="173"/>
    </row>
    <row r="401" spans="1:9" x14ac:dyDescent="0.3">
      <c r="A401" s="9"/>
      <c r="B401" s="12" t="s">
        <v>334</v>
      </c>
      <c r="C401" s="11"/>
      <c r="D401" s="10">
        <f>H402</f>
        <v>0</v>
      </c>
      <c r="E401" s="10">
        <f>E402</f>
        <v>1500000</v>
      </c>
      <c r="F401" s="10">
        <f>D401-E401</f>
        <v>-1500000</v>
      </c>
      <c r="G401" s="169"/>
      <c r="H401" s="170"/>
    </row>
    <row r="402" spans="1:9" x14ac:dyDescent="0.3">
      <c r="A402" s="9"/>
      <c r="B402" s="8"/>
      <c r="C402" s="7" t="s">
        <v>334</v>
      </c>
      <c r="D402" s="6"/>
      <c r="E402" s="6">
        <v>1500000</v>
      </c>
      <c r="F402" s="6">
        <f>D402-E402</f>
        <v>-1500000</v>
      </c>
      <c r="G402" s="192"/>
      <c r="H402" s="193"/>
      <c r="I402" s="2" t="s">
        <v>277</v>
      </c>
    </row>
    <row r="403" spans="1:9" x14ac:dyDescent="0.3">
      <c r="A403" s="9"/>
      <c r="B403" s="12" t="s">
        <v>335</v>
      </c>
      <c r="C403" s="11"/>
      <c r="D403" s="10">
        <f>SUM(D404)</f>
        <v>0</v>
      </c>
      <c r="E403" s="10"/>
      <c r="F403" s="10"/>
      <c r="G403" s="169"/>
      <c r="H403" s="170"/>
    </row>
    <row r="404" spans="1:9" x14ac:dyDescent="0.3">
      <c r="A404" s="9"/>
      <c r="B404" s="8"/>
      <c r="C404" s="19" t="s">
        <v>335</v>
      </c>
      <c r="D404" s="6"/>
      <c r="E404" s="6"/>
      <c r="F404" s="6"/>
      <c r="G404" s="172"/>
      <c r="H404" s="173"/>
    </row>
    <row r="405" spans="1:9" x14ac:dyDescent="0.3">
      <c r="A405" s="9"/>
      <c r="B405" s="12" t="s">
        <v>336</v>
      </c>
      <c r="C405" s="11"/>
      <c r="D405" s="10">
        <f>SUM(D406)</f>
        <v>0</v>
      </c>
      <c r="E405" s="10"/>
      <c r="F405" s="10"/>
      <c r="G405" s="169"/>
      <c r="H405" s="170"/>
    </row>
    <row r="406" spans="1:9" x14ac:dyDescent="0.3">
      <c r="A406" s="9"/>
      <c r="B406" s="8"/>
      <c r="C406" s="18" t="s">
        <v>336</v>
      </c>
      <c r="D406" s="6"/>
      <c r="E406" s="6"/>
      <c r="F406" s="6"/>
      <c r="G406" s="172"/>
      <c r="H406" s="173"/>
    </row>
    <row r="407" spans="1:9" x14ac:dyDescent="0.3">
      <c r="A407" s="17" t="s">
        <v>337</v>
      </c>
      <c r="B407" s="16"/>
      <c r="C407" s="15"/>
      <c r="D407" s="14">
        <f>SUM(D408)</f>
        <v>0</v>
      </c>
      <c r="E407" s="14"/>
      <c r="F407" s="14"/>
      <c r="G407" s="13"/>
      <c r="H407" s="174"/>
    </row>
    <row r="408" spans="1:9" x14ac:dyDescent="0.3">
      <c r="A408" s="9"/>
      <c r="B408" s="12" t="s">
        <v>338</v>
      </c>
      <c r="C408" s="11"/>
      <c r="D408" s="10">
        <f>SUM(D409:D410)</f>
        <v>0</v>
      </c>
      <c r="E408" s="10"/>
      <c r="F408" s="10"/>
      <c r="G408" s="169"/>
      <c r="H408" s="170"/>
    </row>
    <row r="409" spans="1:9" x14ac:dyDescent="0.3">
      <c r="A409" s="9"/>
      <c r="B409" s="8"/>
      <c r="C409" s="227" t="s">
        <v>515</v>
      </c>
      <c r="D409" s="6"/>
      <c r="E409" s="6"/>
      <c r="F409" s="6"/>
      <c r="G409" s="172"/>
      <c r="H409" s="173"/>
    </row>
    <row r="410" spans="1:9" x14ac:dyDescent="0.3">
      <c r="A410" s="9"/>
      <c r="B410" s="8"/>
      <c r="C410" s="227" t="s">
        <v>516</v>
      </c>
      <c r="D410" s="6"/>
      <c r="E410" s="6"/>
      <c r="F410" s="6"/>
      <c r="G410" s="172"/>
      <c r="H410" s="173"/>
    </row>
    <row r="411" spans="1:9" ht="17.25" thickBot="1" x14ac:dyDescent="0.35">
      <c r="A411" s="138" t="s">
        <v>340</v>
      </c>
      <c r="B411" s="5"/>
      <c r="C411" s="4"/>
      <c r="D411" s="139">
        <f>D5+D58+D373+D386+D333+D407+D391+D398</f>
        <v>11340900</v>
      </c>
      <c r="E411" s="3">
        <f>E5+E58+E373+E386+E333+E407+E391+E398</f>
        <v>12830490</v>
      </c>
      <c r="F411" s="3">
        <f>D411-E411</f>
        <v>-1489590</v>
      </c>
      <c r="G411" s="196"/>
      <c r="H411" s="197"/>
    </row>
    <row r="412" spans="1:9" ht="20.100000000000001" customHeight="1" x14ac:dyDescent="0.3">
      <c r="C412" s="1" t="s">
        <v>483</v>
      </c>
      <c r="D412" s="147" t="b">
        <f>'(학교회계)2021 세입예산서'!D90=D411</f>
        <v>1</v>
      </c>
      <c r="E412" s="1" t="b">
        <f>'(학교회계)2021 세입예산서'!E90='(학교회계)2021 세출예산서'!E411</f>
        <v>1</v>
      </c>
      <c r="F412" s="1" t="b">
        <f>'(학교회계)2021 세입예산서'!F90='(학교회계)2021 세출예산서'!F411</f>
        <v>1</v>
      </c>
      <c r="H412" s="198"/>
    </row>
    <row r="413" spans="1:9" x14ac:dyDescent="0.3">
      <c r="A413" s="146"/>
      <c r="B413" s="146"/>
      <c r="C413" s="146"/>
      <c r="D413" s="153"/>
    </row>
    <row r="414" spans="1:9" x14ac:dyDescent="0.3">
      <c r="A414" s="237"/>
      <c r="B414" s="237"/>
      <c r="C414" s="237"/>
      <c r="D414" s="150"/>
    </row>
  </sheetData>
  <autoFilter ref="I1:I411"/>
  <mergeCells count="6">
    <mergeCell ref="A414:C414"/>
    <mergeCell ref="A1:H1"/>
    <mergeCell ref="D3:D4"/>
    <mergeCell ref="E3:E4"/>
    <mergeCell ref="F3:F4"/>
    <mergeCell ref="G3:H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표지</vt:lpstr>
      <vt:lpstr>(학교회계)2021 세입예산서</vt:lpstr>
      <vt:lpstr>(학교회계)2021 세출예산서</vt:lpstr>
      <vt:lpstr>'(학교회계)2021 세출예산서'!Print_Area</vt:lpstr>
      <vt:lpstr>'(학교회계)2021 세입예산서'!Print_Titles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kfpp04</dc:creator>
  <cp:lastModifiedBy>skisndt10</cp:lastModifiedBy>
  <cp:lastPrinted>2020-09-10T07:09:01Z</cp:lastPrinted>
  <dcterms:created xsi:type="dcterms:W3CDTF">2018-07-11T02:32:32Z</dcterms:created>
  <dcterms:modified xsi:type="dcterms:W3CDTF">2021-02-26T09:46:01Z</dcterms:modified>
</cp:coreProperties>
</file>